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68" activeTab="0"/>
  </bookViews>
  <sheets>
    <sheet name="Total" sheetId="1" r:id="rId1"/>
    <sheet name="Outillage" sheetId="2" r:id="rId2"/>
    <sheet name="Taxes et Frais Installation" sheetId="3" r:id="rId3"/>
    <sheet name="Lot Terrassement Voirie Reseaux" sheetId="4" r:id="rId4"/>
    <sheet name="Lot Fondations" sheetId="5" r:id="rId5"/>
    <sheet name="Lot isolation" sheetId="6" r:id="rId6"/>
    <sheet name="Lot Couverture" sheetId="7" r:id="rId7"/>
    <sheet name="Lot Electricité" sheetId="8" r:id="rId8"/>
    <sheet name="Lot revêtements extérieurs" sheetId="9" r:id="rId9"/>
    <sheet name="Lot revêtements intérieurs" sheetId="10" r:id="rId10"/>
    <sheet name="Lot Menuiseries" sheetId="11" r:id="rId11"/>
    <sheet name="Lot Plomberie" sheetId="12" r:id="rId12"/>
    <sheet name="Lot agencement intérieur" sheetId="13" r:id="rId13"/>
    <sheet name="Lot Ossature Bois" sheetId="14" r:id="rId14"/>
    <sheet name="Lot fumisterie ventilation" sheetId="15" r:id="rId15"/>
  </sheets>
  <definedNames/>
  <calcPr fullCalcOnLoad="1"/>
</workbook>
</file>

<file path=xl/comments5.xml><?xml version="1.0" encoding="utf-8"?>
<comments xmlns="http://schemas.openxmlformats.org/spreadsheetml/2006/main">
  <authors>
    <author/>
  </authors>
  <commentList>
    <comment ref="C7" authorId="0">
      <text>
        <r>
          <rPr>
            <sz val="10"/>
            <rFont val="Arial"/>
            <family val="2"/>
          </rPr>
          <t>Denis Mat : 1,45
Weldom : 1,76</t>
        </r>
      </text>
    </comment>
    <comment ref="C32" authorId="0">
      <text>
        <r>
          <rPr>
            <sz val="10"/>
            <rFont val="Arial"/>
            <family val="2"/>
          </rPr>
          <t>Point P : 8,32
Weldom : 7,56
Denis Matériaux : 7,58</t>
        </r>
      </text>
    </comment>
    <comment ref="D37" authorId="0">
      <text>
        <r>
          <rPr>
            <sz val="10"/>
            <rFont val="Arial"/>
            <family val="2"/>
          </rPr>
          <t>Environ (attente facture)</t>
        </r>
      </text>
    </comment>
    <comment ref="C41" authorId="0">
      <text>
        <r>
          <rPr>
            <sz val="10"/>
            <rFont val="Arial"/>
            <family val="2"/>
          </rPr>
          <t>Weldom</t>
        </r>
      </text>
    </comment>
    <comment ref="C60" authorId="0">
      <text>
        <r>
          <rPr>
            <sz val="10"/>
            <rFont val="Arial"/>
            <family val="2"/>
          </rPr>
          <t>Weldom : 9,25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B23" authorId="0">
      <text>
        <r>
          <rPr>
            <sz val="10"/>
            <rFont val="Arial"/>
            <family val="2"/>
          </rPr>
          <t>7 m²</t>
        </r>
      </text>
    </comment>
  </commentList>
</comments>
</file>

<file path=xl/sharedStrings.xml><?xml version="1.0" encoding="utf-8"?>
<sst xmlns="http://schemas.openxmlformats.org/spreadsheetml/2006/main" count="794" uniqueCount="426">
  <si>
    <t>TOTAL maison</t>
  </si>
  <si>
    <t>TOTAL cabanon</t>
  </si>
  <si>
    <t xml:space="preserve">TOTAL </t>
  </si>
  <si>
    <t>Article</t>
  </si>
  <si>
    <t>Unité</t>
  </si>
  <si>
    <t>Prix unité</t>
  </si>
  <si>
    <t>Quantité</t>
  </si>
  <si>
    <t>/s total</t>
  </si>
  <si>
    <t>Mètre 5m Novi-Pro</t>
  </si>
  <si>
    <t>Truelle italienne</t>
  </si>
  <si>
    <t>Seau de maçon plastique</t>
  </si>
  <si>
    <t>Crayons de charpentier</t>
  </si>
  <si>
    <t>Cordeau coton</t>
  </si>
  <si>
    <t>bobine</t>
  </si>
  <si>
    <t>Niveau à fioles</t>
  </si>
  <si>
    <t>Auge plastique 25l</t>
  </si>
  <si>
    <t>Seau de maçon caoutchouc 11l</t>
  </si>
  <si>
    <t>Meuleuse</t>
  </si>
  <si>
    <t>Truelle ronde</t>
  </si>
  <si>
    <t>Truelle ronde inox</t>
  </si>
  <si>
    <t>Taloche polyuréthane</t>
  </si>
  <si>
    <t>Taloche ABS</t>
  </si>
  <si>
    <t>Marteau américain</t>
  </si>
  <si>
    <t>Chaussures de sécurité</t>
  </si>
  <si>
    <t>Paire</t>
  </si>
  <si>
    <t>Equerre</t>
  </si>
  <si>
    <t>Pistolet silicone</t>
  </si>
  <si>
    <t>Marteau US</t>
  </si>
  <si>
    <t>Cutter</t>
  </si>
  <si>
    <t>Visseuse Bosch</t>
  </si>
  <si>
    <t>Dénude-câble (Jokari)</t>
  </si>
  <si>
    <t>Dégrippant DW40</t>
  </si>
  <si>
    <t>200ml</t>
  </si>
  <si>
    <t>Acide chlorhydrique</t>
  </si>
  <si>
    <t>1l</t>
  </si>
  <si>
    <t>Foret à béton SDS D6</t>
  </si>
  <si>
    <t>Clé à molette 300mm</t>
  </si>
  <si>
    <t>Clé à molette 250mm</t>
  </si>
  <si>
    <t xml:space="preserve">Tréteau de maçon </t>
  </si>
  <si>
    <t>Bastaing pour échafaudage 63x175</t>
  </si>
  <si>
    <t>4m</t>
  </si>
  <si>
    <t>Chevilles à frapper D8</t>
  </si>
  <si>
    <t>boîte de 10</t>
  </si>
  <si>
    <t>Mètre 5m Stanley Blade Armor</t>
  </si>
  <si>
    <t>Crayon cellugraph</t>
  </si>
  <si>
    <t>Mèche plate D16</t>
  </si>
  <si>
    <t>Mèche plate D18</t>
  </si>
  <si>
    <t>Mèche plate D20</t>
  </si>
  <si>
    <t>Mèche plate D26</t>
  </si>
  <si>
    <t>Tenaille russe</t>
  </si>
  <si>
    <t>Projecteur 500w</t>
  </si>
  <si>
    <t>Poche porte-outil</t>
  </si>
  <si>
    <t>Bâche ultra-lourde 5x8m</t>
  </si>
  <si>
    <t>Bâche ultra-lourde 4x5m</t>
  </si>
  <si>
    <t>Bâche de protection</t>
  </si>
  <si>
    <t>Tire-bouchon Opinel</t>
  </si>
  <si>
    <t>Niveau anti-choc Stanley</t>
  </si>
  <si>
    <t>Gants étanche bâtiment</t>
  </si>
  <si>
    <t>paire</t>
  </si>
  <si>
    <t>Divers échaffaudage</t>
  </si>
  <si>
    <t>Adhésif vinyl orange Barnier</t>
  </si>
  <si>
    <t>Forêt métaux Ø5 NoviPro</t>
  </si>
  <si>
    <t>TOTAL</t>
  </si>
  <si>
    <t>Maison</t>
  </si>
  <si>
    <t>Sous total</t>
  </si>
  <si>
    <t>TLE (Taxe locale d'équipement)</t>
  </si>
  <si>
    <t>TDENS (Taxe départementale d'espaces naturels sensibles)</t>
  </si>
  <si>
    <t>Installation EDF</t>
  </si>
  <si>
    <t>Installation France télécom</t>
  </si>
  <si>
    <t>Installation SAUR</t>
  </si>
  <si>
    <t>Hypothèque</t>
  </si>
  <si>
    <t>Contrôle phyto SPANC</t>
  </si>
  <si>
    <t>Dépendance</t>
  </si>
  <si>
    <t>Qtité</t>
  </si>
  <si>
    <t>Terrassement de la maison et du cellier</t>
  </si>
  <si>
    <t>M²</t>
  </si>
  <si>
    <t>Fouilles</t>
  </si>
  <si>
    <t>ML</t>
  </si>
  <si>
    <t>Gaine TPC annelée rouge D90</t>
  </si>
  <si>
    <t>50m</t>
  </si>
  <si>
    <t>Gaine annelée bleu D63</t>
  </si>
  <si>
    <t>Gaine annelée vert D50</t>
  </si>
  <si>
    <t>Tube PVC D100</t>
  </si>
  <si>
    <t>ml</t>
  </si>
  <si>
    <t>Tube PVC D50</t>
  </si>
  <si>
    <t>Grille sol 200x200</t>
  </si>
  <si>
    <t>Regard simple 200x200x200</t>
  </si>
  <si>
    <t>Culotte simple 45° FF D100</t>
  </si>
  <si>
    <t>Tampon de réduc D100 / D50</t>
  </si>
  <si>
    <t>Regard béton simple 30x30</t>
  </si>
  <si>
    <t>Réhausse 30x30</t>
  </si>
  <si>
    <t xml:space="preserve">Regard béton 30x30  «pro compact» </t>
  </si>
  <si>
    <t>Couvercle 30x30 «pro compact»</t>
  </si>
  <si>
    <t>Couvercle 30x30 armé simple</t>
  </si>
  <si>
    <t>Coude 87° FF D100</t>
  </si>
  <si>
    <t>Té simple FF D100</t>
  </si>
  <si>
    <t>Regard béton 20/20</t>
  </si>
  <si>
    <t>Couvercle béton 20/20</t>
  </si>
  <si>
    <t>Régalage</t>
  </si>
  <si>
    <t>h</t>
  </si>
  <si>
    <t>Gravillon 20/40 pour drain (livré)</t>
  </si>
  <si>
    <t>t</t>
  </si>
  <si>
    <t>Regard 30/30/22,5</t>
  </si>
  <si>
    <t>Réhausse regard 30/30/22,5</t>
  </si>
  <si>
    <t>Couvercle 30x30 armé pour regard pluvial</t>
  </si>
  <si>
    <t>Regard pluvial 30x30</t>
  </si>
  <si>
    <t>Tractopelle</t>
  </si>
  <si>
    <t>Matériaux et assistance installation filière assainissement</t>
  </si>
  <si>
    <t>M</t>
  </si>
  <si>
    <t>Sable filtration</t>
  </si>
  <si>
    <t>Divers tuyaux et raccords PVC pour phyto</t>
  </si>
  <si>
    <t>Etude de filière assainissement</t>
  </si>
  <si>
    <t>Gravillons 4/6 pour bac planté et noue d'infiltration</t>
  </si>
  <si>
    <t>t livrée</t>
  </si>
  <si>
    <t>Creusement et empierrement accès</t>
  </si>
  <si>
    <t>Terrassement parking</t>
  </si>
  <si>
    <t>buses PEHD CR8, D300</t>
  </si>
  <si>
    <t>buse PEHD CR8, D300</t>
  </si>
  <si>
    <t>Empierrement buses (Gravillons 0/30)</t>
  </si>
  <si>
    <t>Divers tractopelle</t>
  </si>
  <si>
    <t>Fondations 41 ml</t>
  </si>
  <si>
    <t>Béton semelle (toupie)</t>
  </si>
  <si>
    <t>M³</t>
  </si>
  <si>
    <t>Prestation tapis toupie                 + traitement retour</t>
  </si>
  <si>
    <t xml:space="preserve">Béton fibré pp dalle cellier </t>
  </si>
  <si>
    <t>Bloc agglo semi-pleins 20x20x50</t>
  </si>
  <si>
    <t>Etanchéité soubassement (mortier hydrofuge)</t>
  </si>
  <si>
    <t>Sacs de 25 kgs</t>
  </si>
  <si>
    <t>Bloc agglo creux 20x20x50</t>
  </si>
  <si>
    <t>Bloc agglo 10x20x50</t>
  </si>
  <si>
    <t>Bloc agglo 15x20x50</t>
  </si>
  <si>
    <t>Bloc de chaînage (20x30x50)</t>
  </si>
  <si>
    <t>Réhausse regard 37/37/20</t>
  </si>
  <si>
    <t>Réhausse regard 30/30/22</t>
  </si>
  <si>
    <t>Fers semelles (semelle S45)</t>
  </si>
  <si>
    <t>Fers semelles (semelle S35) (GB)</t>
  </si>
  <si>
    <t>Fers semelles (semelle S35) (PP)</t>
  </si>
  <si>
    <t>Fers chaînage poteaux 15x15</t>
  </si>
  <si>
    <t>Fers à béton crantés D 6mm</t>
  </si>
  <si>
    <t>Fers à béton crantés D 8mm</t>
  </si>
  <si>
    <t>Chevrons 63/43</t>
  </si>
  <si>
    <t>3ml</t>
  </si>
  <si>
    <t>Treillis soudé  fils 7mm, 3,55x2m</t>
  </si>
  <si>
    <t>Planches de coffrage 27x250</t>
  </si>
  <si>
    <t>Planches de coffrage 25x200</t>
  </si>
  <si>
    <t>Pointes acier 70x3</t>
  </si>
  <si>
    <t>boîte</t>
  </si>
  <si>
    <t>Tasseau douglas 25x42</t>
  </si>
  <si>
    <t>Tasseau sapin 32x32</t>
  </si>
  <si>
    <t>lot de 6</t>
  </si>
  <si>
    <t>Triply 9mm</t>
  </si>
  <si>
    <t>m²</t>
  </si>
  <si>
    <t>Livraison matériaux</t>
  </si>
  <si>
    <t>Grue</t>
  </si>
  <si>
    <t>Liens à boucles galva</t>
  </si>
  <si>
    <t>Botte de 1000</t>
  </si>
  <si>
    <t>Ciment (Ajimatériaux)</t>
  </si>
  <si>
    <t>Sac 35 kgs</t>
  </si>
  <si>
    <t>Ciment (Point P 2010)</t>
  </si>
  <si>
    <t>Ciment (Point P 2009)</t>
  </si>
  <si>
    <t>Hydrofuge de masse pour béton</t>
  </si>
  <si>
    <t>Dose 30cl</t>
  </si>
  <si>
    <t xml:space="preserve">Sable (0/4) </t>
  </si>
  <si>
    <t>Sable (0/4) livré</t>
  </si>
  <si>
    <t xml:space="preserve">Graviers (6/10) </t>
  </si>
  <si>
    <t>Polystyrène extrudé 60 cm (TFM)</t>
  </si>
  <si>
    <t>Plaque 250/60</t>
  </si>
  <si>
    <t>Polystyrène extrudé 60 cm (PP)</t>
  </si>
  <si>
    <t>Bande d'arase bitume (20 cm)</t>
  </si>
  <si>
    <t>Protection soubassement (1,50x20ml)</t>
  </si>
  <si>
    <t>rouleau</t>
  </si>
  <si>
    <t>Profilé finition protection soubassement</t>
  </si>
  <si>
    <t>2ml</t>
  </si>
  <si>
    <t>Chevilles 6 &amp; 8 mm</t>
  </si>
  <si>
    <t>Drain D100</t>
  </si>
  <si>
    <t>Ml</t>
  </si>
  <si>
    <t xml:space="preserve">Drain D50 </t>
  </si>
  <si>
    <t>25ml</t>
  </si>
  <si>
    <t>Géotextile polyester</t>
  </si>
  <si>
    <t>Grillage avertisseur</t>
  </si>
  <si>
    <t>Tractopelle pour pose drain</t>
  </si>
  <si>
    <t>Livraison gravillon carrière</t>
  </si>
  <si>
    <t>camion</t>
  </si>
  <si>
    <t>Ss- TOTAL</t>
  </si>
  <si>
    <t xml:space="preserve">     Maison       (82,5 m²)</t>
  </si>
  <si>
    <t>Dalle chaux pouzzolane</t>
  </si>
  <si>
    <t>Sable livré (Poulard)</t>
  </si>
  <si>
    <t>Livraison sable carrière</t>
  </si>
  <si>
    <t>« 6/4 »</t>
  </si>
  <si>
    <t>Pouzzolane Vegam</t>
  </si>
  <si>
    <t>Pouzzolane ESAT</t>
  </si>
  <si>
    <t>50l</t>
  </si>
  <si>
    <t>Chaux (NHL 5-Z)</t>
  </si>
  <si>
    <t>35kgs</t>
  </si>
  <si>
    <t>Gravillon 20/40 lavé (33 m³)</t>
  </si>
  <si>
    <t>Gravillon 20/40 lavé livré (Poulard)</t>
  </si>
  <si>
    <t>Tractopelle pour pose hérisson et tranchée réseaux</t>
  </si>
  <si>
    <t>Livraison gravillon</t>
  </si>
  <si>
    <t>Géotextile polyester 0,70x50ml</t>
  </si>
  <si>
    <t>Béton fibré PP</t>
  </si>
  <si>
    <t>Ss-TOTAL</t>
  </si>
  <si>
    <t>Prix unitaire</t>
  </si>
  <si>
    <t>Toiture</t>
  </si>
  <si>
    <t>Bottes de paille 2009</t>
  </si>
  <si>
    <t>Murs</t>
  </si>
  <si>
    <t>Bottes de paille 2010</t>
  </si>
  <si>
    <t>Bache 8m x 15m (stockage paille)</t>
  </si>
  <si>
    <t>MO</t>
  </si>
  <si>
    <t>Terre argileuse</t>
  </si>
  <si>
    <t>tonne livrée</t>
  </si>
  <si>
    <t>Sable 0/4</t>
  </si>
  <si>
    <t>Location tracteur</t>
  </si>
  <si>
    <t>Ss-total</t>
  </si>
  <si>
    <t>Sous-total</t>
  </si>
  <si>
    <t>Membrane EPDM 1,15 mm</t>
  </si>
  <si>
    <t>Membrane EPDM 1,14 mm (occasion)</t>
  </si>
  <si>
    <t>Géotextile polyester (occasion)</t>
  </si>
  <si>
    <t>Passage de paroi D110</t>
  </si>
  <si>
    <t>Plat acier galva</t>
  </si>
  <si>
    <t>6,2 ml</t>
  </si>
  <si>
    <t>Tôles préformées pour habillage acrotères</t>
  </si>
  <si>
    <t>Bande à coller pour EPDM</t>
  </si>
  <si>
    <t>6,1 ml</t>
  </si>
  <si>
    <t xml:space="preserve">Bande de recouvrement </t>
  </si>
  <si>
    <t>Colle EPDM pour bande de recouvrement</t>
  </si>
  <si>
    <t>3,78l</t>
  </si>
  <si>
    <t>Assistance au chantier de couverture</t>
  </si>
  <si>
    <t>Bac acier (anti-condensation)</t>
  </si>
  <si>
    <t xml:space="preserve">Tire-fonds </t>
  </si>
  <si>
    <t>Boîte</t>
  </si>
  <si>
    <t>Cavaliers</t>
  </si>
  <si>
    <t>Capuchons + rondelles néoprène</t>
  </si>
  <si>
    <t>Géocomposite drainant</t>
  </si>
  <si>
    <t>Substrat terre pouzzolane</t>
  </si>
  <si>
    <t>M³ livré</t>
  </si>
  <si>
    <t>Location manuscopique</t>
  </si>
  <si>
    <t>Gravillons 20/40 roulés (bord drainant sud)</t>
  </si>
  <si>
    <t>Gravillons 20/40 roulés (bord drainant nord)</t>
  </si>
  <si>
    <t>Micro-mottes de sedum</t>
  </si>
  <si>
    <t>Transport sedums</t>
  </si>
  <si>
    <t>Transport matériaux toiture</t>
  </si>
  <si>
    <t>Collier descente de gouttière galva</t>
  </si>
  <si>
    <t>Coude cintré gouttière galva</t>
  </si>
  <si>
    <t>Crochets gouttières galva</t>
  </si>
  <si>
    <t>Gouttière demi-ronde galva 25cm</t>
  </si>
  <si>
    <t>Tuyau zinc D80 (descente)</t>
  </si>
  <si>
    <t>Naissance zinc</t>
  </si>
  <si>
    <t>Bouchons zinc</t>
  </si>
  <si>
    <t>Crochet universel galva 25</t>
  </si>
  <si>
    <t>Liteaux 13/38</t>
  </si>
  <si>
    <t>100ml</t>
  </si>
  <si>
    <t>Tassots 50x40 douglas</t>
  </si>
  <si>
    <t>Tassots 50x50 douglas</t>
  </si>
  <si>
    <t>Tassots 40x40 douglas</t>
  </si>
  <si>
    <t>Profilés tôle galva 10/10èmes pour solin ventilé</t>
  </si>
  <si>
    <t>3m</t>
  </si>
  <si>
    <t>Grilles tôle galva pour solin ventilé (trous Ø5mm)</t>
  </si>
  <si>
    <t>2m</t>
  </si>
  <si>
    <t>MO débit et pliage tôles</t>
  </si>
  <si>
    <t>Self-Elec 1</t>
  </si>
  <si>
    <t>Self-Elec 2</t>
  </si>
  <si>
    <t>Self-Elec 3</t>
  </si>
  <si>
    <t>Matériel élec à détailler</t>
  </si>
  <si>
    <t>Fil de cuivre pour prise de terre  25mm²</t>
  </si>
  <si>
    <t>Piquet de terre cruciforme</t>
  </si>
  <si>
    <t>Câble d'alimentation générale     r2v 2x25mm²</t>
  </si>
  <si>
    <t>Câbe de téléreport armé</t>
  </si>
  <si>
    <t>Câble téléphonique 4paires</t>
  </si>
  <si>
    <t>Balladeuse</t>
  </si>
  <si>
    <t>Boitier étanche plexo</t>
  </si>
  <si>
    <t>Gaine ICTA D20</t>
  </si>
  <si>
    <t>Gaine ICTA D16</t>
  </si>
  <si>
    <t>Gaine blindée Flex-a-ray 20mm</t>
  </si>
  <si>
    <t>Clips pour gaine blindée</t>
  </si>
  <si>
    <t>Sachet de 25</t>
  </si>
  <si>
    <t>Bardage clin douglas</t>
  </si>
  <si>
    <t>Pointes inox</t>
  </si>
  <si>
    <t>Profilés aération anti-insectes</t>
  </si>
  <si>
    <t>Grilles anti-rongeurs</t>
  </si>
  <si>
    <t>Tomettes Rdc</t>
  </si>
  <si>
    <t>Transport tomettes</t>
  </si>
  <si>
    <t>Enduits de finition</t>
  </si>
  <si>
    <t>Pose tomettes</t>
  </si>
  <si>
    <t>Parquet chêne</t>
  </si>
  <si>
    <t>Dalles de liège</t>
  </si>
  <si>
    <t>Porte de service (pin du nord, 80x205)</t>
  </si>
  <si>
    <t>unité</t>
  </si>
  <si>
    <t>Porte de service (pin du nord, 90x205)</t>
  </si>
  <si>
    <t>Porte de service ajourée (90x200)</t>
  </si>
  <si>
    <t>Poignée Cenac porte de service</t>
  </si>
  <si>
    <t>Baie coulissante 235*215 châtaignier-alu (occasion)</t>
  </si>
  <si>
    <t xml:space="preserve">Fenêtre 1 vantail oscillo-battant 100*150, châtaignier-alu (occasion) </t>
  </si>
  <si>
    <t>Fenêtre coulissante 70*170 alu (mezzanine)</t>
  </si>
  <si>
    <t>Chassis fixe 70*170 alu avec montant central</t>
  </si>
  <si>
    <t>Fenêtre 2 vantaux  100*140 alu (chambres)</t>
  </si>
  <si>
    <t>Fenêtre 2 vantaux  80*140 alu (chambre)</t>
  </si>
  <si>
    <t>Fenêtre coulissante 90*180 chêne-alu (cuisine)</t>
  </si>
  <si>
    <t>Fenêtre 1 vantail  75*100 vitrage brouillé alu (sdb)</t>
  </si>
  <si>
    <t>Porte entrée 120*215 (porte fenêtre 2 vantaux tiercés)</t>
  </si>
  <si>
    <t>Porte fenêtre d'entrée 90*215 (sas)</t>
  </si>
  <si>
    <t>Porte fenêtre 1 vantail 90*215 (cellier)</t>
  </si>
  <si>
    <t>Poignées</t>
  </si>
  <si>
    <t>Bloc porte chêne (73*204)</t>
  </si>
  <si>
    <t>Kit porte coulissante à galandage</t>
  </si>
  <si>
    <t>Kit habillage porte coulissante</t>
  </si>
  <si>
    <t>Poignée porte coulissante hêtre</t>
  </si>
  <si>
    <t>Poignée porte coulissante moulée</t>
  </si>
  <si>
    <t>Porte coulissante hêtre</t>
  </si>
  <si>
    <t>Porte coulissante moulée</t>
  </si>
  <si>
    <t>Bouton de crémone alu</t>
  </si>
  <si>
    <t>Tube de silicone</t>
  </si>
  <si>
    <t>Compriband (Brico Dépôt)</t>
  </si>
  <si>
    <t>rouleau de 5ml</t>
  </si>
  <si>
    <t>Compriband (Casto)</t>
  </si>
  <si>
    <t>Mastic silicone transparent</t>
  </si>
  <si>
    <t>cartouche</t>
  </si>
  <si>
    <t>Huile dure</t>
  </si>
  <si>
    <t>75cl</t>
  </si>
  <si>
    <t xml:space="preserve">Pieuvre sanitaire et réseau </t>
  </si>
  <si>
    <t>Tuyau PVC D50</t>
  </si>
  <si>
    <t>Tuyau PVC D80</t>
  </si>
  <si>
    <t>Tuyau PVC D100</t>
  </si>
  <si>
    <t>Tuyau PVC D100 CR4</t>
  </si>
  <si>
    <t>Tampon de visite mâle D100</t>
  </si>
  <si>
    <t>Coude 87° D100</t>
  </si>
  <si>
    <t>Support technique pour bouilleur</t>
  </si>
  <si>
    <t>Mitigeur lavabo</t>
  </si>
  <si>
    <t>Siphon lavabo</t>
  </si>
  <si>
    <t>Mitigeur douche/baignoire</t>
  </si>
  <si>
    <t>Mitigeur douche</t>
  </si>
  <si>
    <t>Receveur de douche encastrable</t>
  </si>
  <si>
    <t>Ensemble douche</t>
  </si>
  <si>
    <t>Tuyau PE D25 (plymouth)</t>
  </si>
  <si>
    <t>11 coudes divers D100 +colle PVC</t>
  </si>
  <si>
    <t>Tube PER gainé D20</t>
  </si>
  <si>
    <t>Tube cuivre recuit D14/16</t>
  </si>
  <si>
    <t>15m</t>
  </si>
  <si>
    <t>Isolant pour tuyau Armaflex (ép.13mm)</t>
  </si>
  <si>
    <t>Tubes et coudes PVC D40&amp;50</t>
  </si>
  <si>
    <t>Culotte 87° FF D50</t>
  </si>
  <si>
    <t>Té laiton pour PER 15/21 tube 16</t>
  </si>
  <si>
    <t>Réduc MF D50/40</t>
  </si>
  <si>
    <t>Coude 45° FF D50</t>
  </si>
  <si>
    <t>Té laiton femelle ½</t>
  </si>
  <si>
    <t>Mamelon laiton MM ½</t>
  </si>
  <si>
    <t>Mamelon réduc ½  ¾</t>
  </si>
  <si>
    <t>Mamelon réduc ½ 3/8</t>
  </si>
  <si>
    <t>Divers Frans Bonhomme</t>
  </si>
  <si>
    <t>Tube multi-couche 2m D20mmm</t>
  </si>
  <si>
    <t>Raccords plomberie divers</t>
  </si>
  <si>
    <t>Briques réfractaires foyer fermé</t>
  </si>
  <si>
    <t>Mortier réfractaire</t>
  </si>
  <si>
    <t>Sac 25kgs</t>
  </si>
  <si>
    <t>Plan de travail cuisine</t>
  </si>
  <si>
    <t>Evier inox</t>
  </si>
  <si>
    <t>Vasque + support</t>
  </si>
  <si>
    <t>Cloison Siporex 5 cm</t>
  </si>
  <si>
    <t>Mortier colle Siporex</t>
  </si>
  <si>
    <t>Sac 5kgs</t>
  </si>
  <si>
    <t>Cloison placo Batiplac 13 (250x120)</t>
  </si>
  <si>
    <t>Cloison placo Batiplac hydro 13 (250x120)</t>
  </si>
  <si>
    <t>Montant Placostil metal (249)</t>
  </si>
  <si>
    <t>Rail métallique R48 3m</t>
  </si>
  <si>
    <t>Ouate de cellulose</t>
  </si>
  <si>
    <t>Sac de 12,5 kgs</t>
  </si>
  <si>
    <t>Dalle Kronoply OSB3 200x91</t>
  </si>
  <si>
    <t>Chevron sapin/épicéa 44/63</t>
  </si>
  <si>
    <t>Chevron sapin/épicéa 50x75</t>
  </si>
  <si>
    <t>Visserie</t>
  </si>
  <si>
    <t>Chevron Douglas 63x75</t>
  </si>
  <si>
    <t>Planche de coffrage 27x150</t>
  </si>
  <si>
    <t>Montants épicéa 45x145</t>
  </si>
  <si>
    <t>2,5m</t>
  </si>
  <si>
    <t>Détendeur et flexible gaz, projecteur et câble pour aménagement cabanon</t>
  </si>
  <si>
    <t>Madrier sapin/épicéa 75x200</t>
  </si>
  <si>
    <t>Fourniture et pose ossature/charpente douglas</t>
  </si>
  <si>
    <t>DWD Agepan sous-toiture 16 mm RL (2,51m x 0,625m)</t>
  </si>
  <si>
    <t xml:space="preserve">DWD Agepan mur 16 mm (2,50m x 1,01m) </t>
  </si>
  <si>
    <t>Agepan mur contreventant (2,8m x 1,196m)</t>
  </si>
  <si>
    <t>OSB 3 RL 18 mm (toiture)</t>
  </si>
  <si>
    <t>Pièce d'appui monolithe Terreal (108 x 34,5)</t>
  </si>
  <si>
    <t>Pièce d'appui monolithe Terreal (118 x 34,5)</t>
  </si>
  <si>
    <t>Pièce d'appui monolithe Terreal (128 x 34,5)</t>
  </si>
  <si>
    <t>Pièce d'appui monolithe Terreal (168 x 34,5)</t>
  </si>
  <si>
    <t>Pièce d'appui monolithe Terreal (198 x 34,5)</t>
  </si>
  <si>
    <t>Pièce d'appui monolithe Terreal (218 x 34,5)</t>
  </si>
  <si>
    <t>Liège Maisons Naturelles</t>
  </si>
  <si>
    <t>Liège Eco-Saint</t>
  </si>
  <si>
    <t>Freine-vapeur armé</t>
  </si>
  <si>
    <t>Pare-pluie Fibra nature</t>
  </si>
  <si>
    <t>Dalle sous-couche phonique feutre de bois</t>
  </si>
  <si>
    <t xml:space="preserve">Bitumineux pour remontée capillaire   </t>
  </si>
  <si>
    <t>rl</t>
  </si>
  <si>
    <t>OSB 3 RL 16 mm (plancher technique)</t>
  </si>
  <si>
    <t>Fermacell</t>
  </si>
  <si>
    <t xml:space="preserve">Colle pour Fermacell </t>
  </si>
  <si>
    <t>tube 310ml</t>
  </si>
  <si>
    <t>Enduit de jointement</t>
  </si>
  <si>
    <t>sac 5kgs</t>
  </si>
  <si>
    <t>Vis auto perceuses</t>
  </si>
  <si>
    <t>boîte de 1000</t>
  </si>
  <si>
    <t>Vis pour OSB et agepan 5x40</t>
  </si>
  <si>
    <t>Transport matériaux Bois &amp; Habitat</t>
  </si>
  <si>
    <t>Poteaux contrecollés Duolam 140x140</t>
  </si>
  <si>
    <t>Madriers sapin/épicea 75x200 refendus en 38x200</t>
  </si>
  <si>
    <t>Dalles Kronoply OSB3 milieu humide</t>
  </si>
  <si>
    <t>Prestation scierie</t>
  </si>
  <si>
    <t>Prestation traitement classe 2</t>
  </si>
  <si>
    <t>Déchargement grue</t>
  </si>
  <si>
    <t>Participation transport (Rennes/Plumaudan)</t>
  </si>
  <si>
    <t>Chevrons pin</t>
  </si>
  <si>
    <t>Débit douglas</t>
  </si>
  <si>
    <t>Visserie / clouterie</t>
  </si>
  <si>
    <t>Tasseaux sapin brut (25x32)</t>
  </si>
  <si>
    <t>Botte de 6 x 2,5m</t>
  </si>
  <si>
    <t>Mastic silicone extérieur blanc</t>
  </si>
  <si>
    <t>cartouche 300ml</t>
  </si>
  <si>
    <t>Panneau CP 10mm extérieur 1,20x2,50</t>
  </si>
  <si>
    <t>Silicone extérieur blanc</t>
  </si>
  <si>
    <t>cartouche 310ml</t>
  </si>
  <si>
    <t>Profilés acier galva pour bas de murs enduits</t>
  </si>
  <si>
    <t>18m</t>
  </si>
  <si>
    <t>Bastaings 5x15 douglas</t>
  </si>
  <si>
    <t>Foyer fermé Stovax Riva 76 + conduit isolé Joncoux, finition galva aluminé (fourniture et pose). Solde</t>
  </si>
  <si>
    <t xml:space="preserve">Acompte </t>
  </si>
  <si>
    <t>Hotte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</si>
</sst>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2"/>
    </font>
    <font>
      <b/>
      <sz val="12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3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2" fontId="0" fillId="4" borderId="5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2" fontId="0" fillId="4" borderId="7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2" fontId="4" fillId="5" borderId="7" xfId="0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2" fontId="0" fillId="3" borderId="9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2" fillId="2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3" fillId="6" borderId="7" xfId="0" applyFont="1" applyFill="1" applyBorder="1" applyAlignment="1">
      <alignment/>
    </xf>
    <xf numFmtId="0" fontId="4" fillId="0" borderId="8" xfId="0" applyFont="1" applyBorder="1" applyAlignment="1">
      <alignment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0" fillId="2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wrapText="1"/>
    </xf>
    <xf numFmtId="0" fontId="5" fillId="3" borderId="2" xfId="0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2" fontId="0" fillId="2" borderId="7" xfId="0" applyNumberFormat="1" applyFont="1" applyFill="1" applyBorder="1" applyAlignment="1">
      <alignment horizontal="center"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right"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 horizontal="center"/>
    </xf>
    <xf numFmtId="2" fontId="0" fillId="0" borderId="2" xfId="0" applyNumberFormat="1" applyFont="1" applyBorder="1" applyAlignment="1">
      <alignment/>
    </xf>
    <xf numFmtId="2" fontId="0" fillId="2" borderId="2" xfId="0" applyNumberFormat="1" applyFont="1" applyFill="1" applyBorder="1" applyAlignment="1">
      <alignment/>
    </xf>
    <xf numFmtId="2" fontId="0" fillId="4" borderId="2" xfId="0" applyNumberFormat="1" applyFont="1" applyFill="1" applyBorder="1" applyAlignment="1">
      <alignment/>
    </xf>
    <xf numFmtId="0" fontId="0" fillId="0" borderId="2" xfId="0" applyBorder="1" applyAlignment="1">
      <alignment/>
    </xf>
    <xf numFmtId="2" fontId="5" fillId="3" borderId="2" xfId="0" applyNumberFormat="1" applyFont="1" applyFill="1" applyBorder="1" applyAlignment="1">
      <alignment/>
    </xf>
    <xf numFmtId="0" fontId="5" fillId="2" borderId="2" xfId="0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2" borderId="13" xfId="0" applyNumberFormat="1" applyFont="1" applyFill="1" applyBorder="1" applyAlignment="1">
      <alignment horizontal="center"/>
    </xf>
    <xf numFmtId="0" fontId="0" fillId="0" borderId="4" xfId="0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2" borderId="4" xfId="0" applyNumberFormat="1" applyFont="1" applyFill="1" applyBorder="1" applyAlignment="1">
      <alignment/>
    </xf>
    <xf numFmtId="2" fontId="0" fillId="2" borderId="5" xfId="0" applyNumberFormat="1" applyFont="1" applyFill="1" applyBorder="1" applyAlignment="1">
      <alignment/>
    </xf>
    <xf numFmtId="2" fontId="0" fillId="2" borderId="7" xfId="0" applyNumberFormat="1" applyFont="1" applyFill="1" applyBorder="1" applyAlignment="1">
      <alignment/>
    </xf>
    <xf numFmtId="0" fontId="5" fillId="3" borderId="9" xfId="0" applyFont="1" applyFill="1" applyBorder="1" applyAlignment="1">
      <alignment/>
    </xf>
    <xf numFmtId="2" fontId="5" fillId="3" borderId="9" xfId="0" applyNumberFormat="1" applyFont="1" applyFill="1" applyBorder="1" applyAlignment="1">
      <alignment/>
    </xf>
    <xf numFmtId="0" fontId="5" fillId="2" borderId="9" xfId="0" applyFont="1" applyFill="1" applyBorder="1" applyAlignment="1">
      <alignment/>
    </xf>
    <xf numFmtId="2" fontId="5" fillId="2" borderId="9" xfId="0" applyNumberFormat="1" applyFont="1" applyFill="1" applyBorder="1" applyAlignment="1">
      <alignment/>
    </xf>
    <xf numFmtId="2" fontId="5" fillId="2" borderId="10" xfId="0" applyNumberFormat="1" applyFont="1" applyFill="1" applyBorder="1" applyAlignment="1">
      <alignment/>
    </xf>
    <xf numFmtId="2" fontId="0" fillId="0" borderId="2" xfId="0" applyNumberFormat="1" applyFont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2" fontId="0" fillId="4" borderId="2" xfId="0" applyNumberFormat="1" applyFont="1" applyFill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horizontal="left" wrapText="1"/>
    </xf>
    <xf numFmtId="0" fontId="5" fillId="3" borderId="8" xfId="0" applyFont="1" applyFill="1" applyBorder="1" applyAlignment="1">
      <alignment wrapText="1"/>
    </xf>
    <xf numFmtId="2" fontId="5" fillId="2" borderId="9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2" fontId="0" fillId="5" borderId="2" xfId="0" applyNumberFormat="1" applyFont="1" applyFill="1" applyBorder="1" applyAlignment="1">
      <alignment horizontal="center"/>
    </xf>
    <xf numFmtId="2" fontId="0" fillId="4" borderId="7" xfId="0" applyNumberFormat="1" applyFont="1" applyFill="1" applyBorder="1" applyAlignment="1">
      <alignment/>
    </xf>
    <xf numFmtId="0" fontId="1" fillId="3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/>
    </xf>
    <xf numFmtId="2" fontId="0" fillId="0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2" fontId="0" fillId="5" borderId="7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2" fontId="5" fillId="2" borderId="7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2" fontId="5" fillId="0" borderId="9" xfId="0" applyNumberFormat="1" applyFont="1" applyFill="1" applyBorder="1" applyAlignment="1">
      <alignment horizontal="center"/>
    </xf>
    <xf numFmtId="2" fontId="7" fillId="2" borderId="10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2" fontId="0" fillId="4" borderId="7" xfId="0" applyNumberFormat="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5" fillId="3" borderId="6" xfId="0" applyFont="1" applyFill="1" applyBorder="1" applyAlignment="1">
      <alignment/>
    </xf>
    <xf numFmtId="2" fontId="4" fillId="0" borderId="7" xfId="0" applyNumberFormat="1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90016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515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D14"/>
  <sheetViews>
    <sheetView tabSelected="1" workbookViewId="0" topLeftCell="A4">
      <selection activeCell="H16" sqref="H16"/>
    </sheetView>
  </sheetViews>
  <sheetFormatPr defaultColWidth="11.421875" defaultRowHeight="12.75"/>
  <cols>
    <col min="1" max="1" width="11.57421875" style="0" customWidth="1"/>
    <col min="2" max="2" width="25.421875" style="0" customWidth="1"/>
    <col min="3" max="3" width="16.421875" style="0" customWidth="1"/>
    <col min="4" max="4" width="12.28125" style="0" customWidth="1"/>
    <col min="5" max="16384" width="11.57421875" style="0" customWidth="1"/>
  </cols>
  <sheetData>
    <row r="9" ht="13.5" thickBot="1"/>
    <row r="10" spans="1:4" ht="18.75">
      <c r="A10" s="7"/>
      <c r="B10" s="58" t="s">
        <v>0</v>
      </c>
      <c r="C10" s="59">
        <f>Outillage!E52+'Taxes et Frais Installation'!C10+'Lot Terrassement Voirie Reseaux'!E41+'Lot Fondations'!E69+'Lot isolation'!E16+'Lot Couverture'!E43+'Lot Electricité'!E19+'Lot revêtements extérieurs'!E8+'Lot revêtements intérieurs'!E9+'Lot Menuiseries'!E35+'Lot Plomberie'!E35+'Lot agencement intérieur'!E26+'Lot Ossature Bois'!E44+'Lot fumisterie ventilation'!E6</f>
        <v>117140.72897560001</v>
      </c>
      <c r="D10" s="8"/>
    </row>
    <row r="11" spans="1:3" ht="17.25" customHeight="1">
      <c r="A11" s="7"/>
      <c r="B11" s="60" t="s">
        <v>1</v>
      </c>
      <c r="C11" s="61">
        <f>'Lot Fondations'!G69+'Lot Couverture'!G43+'Lot Menuiseries'!G35+'Lot Plomberie'!G35+'Lot agencement intérieur'!G26+'Lot Ossature Bois'!G44</f>
        <v>3856.2840820399997</v>
      </c>
    </row>
    <row r="12" spans="2:3" ht="18" customHeight="1" thickBot="1">
      <c r="B12" s="62" t="s">
        <v>2</v>
      </c>
      <c r="C12" s="63">
        <f>C10+C11</f>
        <v>120997.01305764001</v>
      </c>
    </row>
    <row r="14" ht="15.75">
      <c r="B14" s="1"/>
    </row>
    <row r="19" ht="40.5" customHeight="1"/>
  </sheetData>
  <sheetProtection selectLockedCells="1" selectUnlockedCells="1"/>
  <mergeCells count="1">
    <mergeCell ref="A10:A11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:E2"/>
    </sheetView>
  </sheetViews>
  <sheetFormatPr defaultColWidth="11.421875" defaultRowHeight="21.75" customHeight="1"/>
  <cols>
    <col min="1" max="1" width="26.57421875" style="0" customWidth="1"/>
    <col min="2" max="2" width="5.8515625" style="2" customWidth="1"/>
    <col min="3" max="3" width="11.421875" style="17" customWidth="1"/>
    <col min="4" max="4" width="5.57421875" style="2" customWidth="1"/>
    <col min="5" max="5" width="8.8515625" style="17" customWidth="1"/>
    <col min="6" max="16384" width="11.57421875" style="0" customWidth="1"/>
  </cols>
  <sheetData>
    <row r="1" spans="1:5" ht="12.75">
      <c r="A1" s="28" t="s">
        <v>3</v>
      </c>
      <c r="B1" s="36" t="s">
        <v>4</v>
      </c>
      <c r="C1" s="37" t="s">
        <v>201</v>
      </c>
      <c r="D1" s="29" t="s">
        <v>63</v>
      </c>
      <c r="E1" s="30"/>
    </row>
    <row r="2" spans="1:5" ht="13.5" thickBot="1">
      <c r="A2" s="31"/>
      <c r="B2" s="40"/>
      <c r="C2" s="41"/>
      <c r="D2" s="32" t="s">
        <v>73</v>
      </c>
      <c r="E2" s="102" t="s">
        <v>7</v>
      </c>
    </row>
    <row r="3" spans="1:5" ht="21.75" customHeight="1">
      <c r="A3" s="20" t="s">
        <v>279</v>
      </c>
      <c r="B3" s="121" t="s">
        <v>75</v>
      </c>
      <c r="C3" s="122">
        <f>19.8*1.196</f>
        <v>23.6808</v>
      </c>
      <c r="D3" s="118">
        <v>60</v>
      </c>
      <c r="E3" s="120">
        <f>PRODUCT(C3,D3)</f>
        <v>1420.8480000000002</v>
      </c>
    </row>
    <row r="4" spans="1:5" ht="21.75" customHeight="1">
      <c r="A4" s="23" t="s">
        <v>280</v>
      </c>
      <c r="B4" s="12" t="s">
        <v>4</v>
      </c>
      <c r="C4" s="16">
        <f>200*1.196</f>
        <v>239.2</v>
      </c>
      <c r="D4" s="13">
        <v>1</v>
      </c>
      <c r="E4" s="75">
        <f>C4*D4</f>
        <v>239.2</v>
      </c>
    </row>
    <row r="5" spans="1:5" ht="21.75" customHeight="1">
      <c r="A5" s="23" t="s">
        <v>281</v>
      </c>
      <c r="B5" s="12" t="s">
        <v>151</v>
      </c>
      <c r="C5" s="16">
        <v>40.47</v>
      </c>
      <c r="D5" s="13">
        <v>0</v>
      </c>
      <c r="E5" s="75">
        <f>C5*D5</f>
        <v>0</v>
      </c>
    </row>
    <row r="6" spans="1:5" ht="21.75" customHeight="1">
      <c r="A6" s="23" t="s">
        <v>282</v>
      </c>
      <c r="B6" s="12" t="s">
        <v>75</v>
      </c>
      <c r="C6" s="16">
        <v>64</v>
      </c>
      <c r="D6" s="13">
        <v>60</v>
      </c>
      <c r="E6" s="75">
        <f>C6*D6</f>
        <v>3840</v>
      </c>
    </row>
    <row r="7" spans="1:5" ht="27.75" customHeight="1">
      <c r="A7" s="23" t="s">
        <v>283</v>
      </c>
      <c r="B7" s="12" t="s">
        <v>75</v>
      </c>
      <c r="C7" s="16">
        <v>32.9</v>
      </c>
      <c r="D7" s="13">
        <v>39.3</v>
      </c>
      <c r="E7" s="75">
        <f>PRODUCT(C7,D7)</f>
        <v>1292.9699999999998</v>
      </c>
    </row>
    <row r="8" spans="1:5" ht="21.75" customHeight="1">
      <c r="A8" s="23" t="s">
        <v>284</v>
      </c>
      <c r="B8" s="12" t="s">
        <v>75</v>
      </c>
      <c r="C8" s="16">
        <f>22.8*1.196</f>
        <v>27.2688</v>
      </c>
      <c r="D8" s="13">
        <v>7</v>
      </c>
      <c r="E8" s="75">
        <f>C8*D8</f>
        <v>190.8816</v>
      </c>
    </row>
    <row r="9" spans="1:5" ht="21.75" customHeight="1" thickBot="1">
      <c r="A9" s="78" t="s">
        <v>62</v>
      </c>
      <c r="B9" s="79"/>
      <c r="C9" s="80"/>
      <c r="D9" s="81"/>
      <c r="E9" s="82">
        <f>SUM(E3:E8)</f>
        <v>6983.8996</v>
      </c>
    </row>
  </sheetData>
  <sheetProtection selectLockedCells="1" selectUnlockedCells="1"/>
  <mergeCells count="4">
    <mergeCell ref="A1:A2"/>
    <mergeCell ref="B1:B2"/>
    <mergeCell ref="C1:C2"/>
    <mergeCell ref="D1:E1"/>
  </mergeCell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7">
      <selection activeCell="F1" sqref="A1:G2"/>
    </sheetView>
  </sheetViews>
  <sheetFormatPr defaultColWidth="11.421875" defaultRowHeight="21.75" customHeight="1"/>
  <cols>
    <col min="1" max="1" width="57.421875" style="0" customWidth="1"/>
    <col min="2" max="2" width="14.7109375" style="0" customWidth="1"/>
    <col min="3" max="3" width="13.00390625" style="64" customWidth="1"/>
    <col min="4" max="4" width="8.57421875" style="0" customWidth="1"/>
    <col min="5" max="5" width="9.28125" style="64" customWidth="1"/>
    <col min="6" max="6" width="12.28125" style="0" customWidth="1"/>
    <col min="7" max="7" width="10.28125" style="64" customWidth="1"/>
    <col min="8" max="16384" width="11.57421875" style="0" customWidth="1"/>
  </cols>
  <sheetData>
    <row r="1" spans="1:7" ht="12.75">
      <c r="A1" s="28" t="s">
        <v>3</v>
      </c>
      <c r="B1" s="36" t="s">
        <v>4</v>
      </c>
      <c r="C1" s="37" t="s">
        <v>201</v>
      </c>
      <c r="D1" s="29" t="s">
        <v>63</v>
      </c>
      <c r="E1" s="29"/>
      <c r="F1" s="38" t="s">
        <v>72</v>
      </c>
      <c r="G1" s="100"/>
    </row>
    <row r="2" spans="1:7" ht="13.5" thickBot="1">
      <c r="A2" s="31"/>
      <c r="B2" s="40"/>
      <c r="C2" s="41"/>
      <c r="D2" s="32" t="s">
        <v>6</v>
      </c>
      <c r="E2" s="101" t="s">
        <v>64</v>
      </c>
      <c r="F2" s="32" t="s">
        <v>6</v>
      </c>
      <c r="G2" s="102" t="s">
        <v>213</v>
      </c>
    </row>
    <row r="3" spans="1:7" ht="21" customHeight="1">
      <c r="A3" s="44" t="s">
        <v>285</v>
      </c>
      <c r="B3" s="45" t="s">
        <v>286</v>
      </c>
      <c r="C3" s="46">
        <v>53</v>
      </c>
      <c r="D3" s="118">
        <v>0</v>
      </c>
      <c r="E3" s="119">
        <v>0</v>
      </c>
      <c r="F3" s="118">
        <v>1</v>
      </c>
      <c r="G3" s="120">
        <f>PRODUCT(C3,F3)</f>
        <v>53</v>
      </c>
    </row>
    <row r="4" spans="1:7" ht="24.75" customHeight="1">
      <c r="A4" s="49" t="s">
        <v>287</v>
      </c>
      <c r="B4" s="9" t="s">
        <v>286</v>
      </c>
      <c r="C4" s="15">
        <v>78.9</v>
      </c>
      <c r="D4" s="13">
        <v>0</v>
      </c>
      <c r="E4" s="65">
        <f>C4*D4</f>
        <v>0</v>
      </c>
      <c r="F4" s="13">
        <v>1</v>
      </c>
      <c r="G4" s="75">
        <f>C4*F4</f>
        <v>78.9</v>
      </c>
    </row>
    <row r="5" spans="1:7" ht="21.75" customHeight="1">
      <c r="A5" s="23" t="s">
        <v>288</v>
      </c>
      <c r="B5" s="11" t="s">
        <v>4</v>
      </c>
      <c r="C5" s="83">
        <v>279</v>
      </c>
      <c r="D5" s="19">
        <v>0</v>
      </c>
      <c r="E5" s="84">
        <f>C5*D5</f>
        <v>0</v>
      </c>
      <c r="F5" s="19"/>
      <c r="G5" s="111"/>
    </row>
    <row r="6" spans="1:7" ht="21.75" customHeight="1">
      <c r="A6" s="23" t="s">
        <v>289</v>
      </c>
      <c r="B6" s="11" t="s">
        <v>4</v>
      </c>
      <c r="C6" s="83">
        <v>46</v>
      </c>
      <c r="D6" s="19">
        <v>0</v>
      </c>
      <c r="E6" s="84">
        <f>C6*D6</f>
        <v>0</v>
      </c>
      <c r="F6" s="19"/>
      <c r="G6" s="111"/>
    </row>
    <row r="7" spans="1:7" ht="21.75" customHeight="1">
      <c r="A7" s="23" t="s">
        <v>290</v>
      </c>
      <c r="B7" s="11" t="s">
        <v>4</v>
      </c>
      <c r="C7" s="83">
        <v>390</v>
      </c>
      <c r="D7" s="19">
        <v>2</v>
      </c>
      <c r="E7" s="85">
        <f>C7*D7</f>
        <v>780</v>
      </c>
      <c r="F7" s="19"/>
      <c r="G7" s="111"/>
    </row>
    <row r="8" spans="1:7" ht="21.75" customHeight="1">
      <c r="A8" s="23" t="s">
        <v>291</v>
      </c>
      <c r="B8" s="11" t="s">
        <v>4</v>
      </c>
      <c r="C8" s="83">
        <v>490</v>
      </c>
      <c r="D8" s="19">
        <v>1</v>
      </c>
      <c r="E8" s="85">
        <f>C8*D8</f>
        <v>490</v>
      </c>
      <c r="F8" s="19"/>
      <c r="G8" s="111"/>
    </row>
    <row r="9" spans="1:7" ht="21.75" customHeight="1">
      <c r="A9" s="23" t="s">
        <v>292</v>
      </c>
      <c r="B9" s="11" t="s">
        <v>4</v>
      </c>
      <c r="C9" s="83">
        <f>529.48*1.196</f>
        <v>633.25808</v>
      </c>
      <c r="D9" s="19">
        <v>0.95</v>
      </c>
      <c r="E9" s="84">
        <f aca="true" t="shared" si="0" ref="E9:E16">PRODUCT(C9,D9)</f>
        <v>601.5951759999999</v>
      </c>
      <c r="F9" s="19"/>
      <c r="G9" s="111"/>
    </row>
    <row r="10" spans="1:7" ht="21.75" customHeight="1">
      <c r="A10" s="23" t="s">
        <v>293</v>
      </c>
      <c r="B10" s="11" t="s">
        <v>4</v>
      </c>
      <c r="C10" s="83">
        <f>478.52*1.196</f>
        <v>572.3099199999999</v>
      </c>
      <c r="D10" s="19">
        <v>0.95</v>
      </c>
      <c r="E10" s="84">
        <f t="shared" si="0"/>
        <v>543.6944239999999</v>
      </c>
      <c r="F10" s="19"/>
      <c r="G10" s="111"/>
    </row>
    <row r="11" spans="1:7" ht="21.75" customHeight="1">
      <c r="A11" s="23" t="s">
        <v>294</v>
      </c>
      <c r="B11" s="11" t="s">
        <v>286</v>
      </c>
      <c r="C11" s="83">
        <f>573.44*1.196</f>
        <v>685.83424</v>
      </c>
      <c r="D11" s="19">
        <v>1.9</v>
      </c>
      <c r="E11" s="84">
        <f t="shared" si="0"/>
        <v>1303.085056</v>
      </c>
      <c r="F11" s="19"/>
      <c r="G11" s="111"/>
    </row>
    <row r="12" spans="1:7" ht="21.75" customHeight="1">
      <c r="A12" s="23" t="s">
        <v>295</v>
      </c>
      <c r="B12" s="11" t="s">
        <v>286</v>
      </c>
      <c r="C12" s="117">
        <f>523.92*1.196</f>
        <v>626.6083199999999</v>
      </c>
      <c r="D12" s="19">
        <v>0.95</v>
      </c>
      <c r="E12" s="84">
        <f t="shared" si="0"/>
        <v>595.2779039999999</v>
      </c>
      <c r="F12" s="19"/>
      <c r="G12" s="111"/>
    </row>
    <row r="13" spans="1:7" ht="21.75" customHeight="1">
      <c r="A13" s="23" t="s">
        <v>296</v>
      </c>
      <c r="B13" s="11" t="s">
        <v>286</v>
      </c>
      <c r="C13" s="83">
        <f>924.5*1.196</f>
        <v>1105.702</v>
      </c>
      <c r="D13" s="19">
        <f>0.95</f>
        <v>0.9500000000000001</v>
      </c>
      <c r="E13" s="84">
        <f t="shared" si="0"/>
        <v>1050.4169000000002</v>
      </c>
      <c r="F13" s="19"/>
      <c r="G13" s="111"/>
    </row>
    <row r="14" spans="1:7" ht="21.75" customHeight="1">
      <c r="A14" s="23" t="s">
        <v>297</v>
      </c>
      <c r="B14" s="11" t="s">
        <v>286</v>
      </c>
      <c r="C14" s="83">
        <f>402.17*1.196</f>
        <v>480.99532</v>
      </c>
      <c r="D14" s="19">
        <v>0.95</v>
      </c>
      <c r="E14" s="84">
        <f t="shared" si="0"/>
        <v>456.94555399999996</v>
      </c>
      <c r="F14" s="19"/>
      <c r="G14" s="111"/>
    </row>
    <row r="15" spans="1:7" ht="21.75" customHeight="1">
      <c r="A15" s="23" t="s">
        <v>298</v>
      </c>
      <c r="B15" s="11" t="s">
        <v>286</v>
      </c>
      <c r="C15" s="83">
        <f>1322.44*1.196</f>
        <v>1581.63824</v>
      </c>
      <c r="D15" s="19">
        <v>0.95</v>
      </c>
      <c r="E15" s="84">
        <f t="shared" si="0"/>
        <v>1502.556328</v>
      </c>
      <c r="F15" s="19"/>
      <c r="G15" s="111"/>
    </row>
    <row r="16" spans="1:7" ht="21.75" customHeight="1">
      <c r="A16" s="23" t="s">
        <v>299</v>
      </c>
      <c r="B16" s="11" t="s">
        <v>286</v>
      </c>
      <c r="C16" s="83">
        <f>838.4*1.196</f>
        <v>1002.7263999999999</v>
      </c>
      <c r="D16" s="19">
        <v>0.95</v>
      </c>
      <c r="E16" s="84">
        <f t="shared" si="0"/>
        <v>952.5900799999998</v>
      </c>
      <c r="F16" s="19"/>
      <c r="G16" s="111"/>
    </row>
    <row r="17" spans="1:7" ht="21.75" customHeight="1">
      <c r="A17" s="23" t="s">
        <v>300</v>
      </c>
      <c r="B17" s="11" t="s">
        <v>286</v>
      </c>
      <c r="C17" s="83">
        <f>733*1.196</f>
        <v>876.668</v>
      </c>
      <c r="D17" s="19">
        <v>0.95</v>
      </c>
      <c r="E17" s="84">
        <f>C17*D17</f>
        <v>832.8346</v>
      </c>
      <c r="F17" s="19"/>
      <c r="G17" s="111"/>
    </row>
    <row r="18" spans="1:7" ht="21.75" customHeight="1">
      <c r="A18" s="23" t="s">
        <v>301</v>
      </c>
      <c r="B18" s="11" t="s">
        <v>286</v>
      </c>
      <c r="C18" s="83">
        <f>15.72*1.196</f>
        <v>18.80112</v>
      </c>
      <c r="D18" s="19">
        <v>0</v>
      </c>
      <c r="E18" s="84">
        <f>C18*D18</f>
        <v>0</v>
      </c>
      <c r="F18" s="19"/>
      <c r="G18" s="111"/>
    </row>
    <row r="19" spans="1:7" ht="21.75" customHeight="1">
      <c r="A19" s="23" t="s">
        <v>302</v>
      </c>
      <c r="B19" s="11" t="s">
        <v>286</v>
      </c>
      <c r="C19" s="83">
        <v>139</v>
      </c>
      <c r="D19" s="19">
        <v>3</v>
      </c>
      <c r="E19" s="84">
        <f>PRODUCT(C19,D19)</f>
        <v>417</v>
      </c>
      <c r="F19" s="19"/>
      <c r="G19" s="111"/>
    </row>
    <row r="20" spans="1:7" ht="33.75" customHeight="1">
      <c r="A20" s="23" t="s">
        <v>303</v>
      </c>
      <c r="B20" s="11" t="s">
        <v>286</v>
      </c>
      <c r="C20" s="83">
        <f>105+80.5</f>
        <v>185.5</v>
      </c>
      <c r="D20" s="19">
        <v>3</v>
      </c>
      <c r="E20" s="84">
        <f>PRODUCT(C20,D20)</f>
        <v>556.5</v>
      </c>
      <c r="F20" s="19"/>
      <c r="G20" s="111"/>
    </row>
    <row r="21" spans="1:7" ht="33" customHeight="1">
      <c r="A21" s="23" t="s">
        <v>304</v>
      </c>
      <c r="B21" s="11" t="s">
        <v>286</v>
      </c>
      <c r="C21" s="83">
        <f>105+331</f>
        <v>436</v>
      </c>
      <c r="D21" s="19">
        <v>2</v>
      </c>
      <c r="E21" s="84">
        <f aca="true" t="shared" si="1" ref="E21:E31">C21*D21</f>
        <v>872</v>
      </c>
      <c r="F21" s="19"/>
      <c r="G21" s="111"/>
    </row>
    <row r="22" spans="1:7" ht="30" customHeight="1">
      <c r="A22" s="23" t="s">
        <v>305</v>
      </c>
      <c r="B22" s="11" t="s">
        <v>286</v>
      </c>
      <c r="C22" s="83">
        <v>35</v>
      </c>
      <c r="D22" s="19">
        <v>1</v>
      </c>
      <c r="E22" s="84">
        <f t="shared" si="1"/>
        <v>35</v>
      </c>
      <c r="F22" s="19"/>
      <c r="G22" s="111"/>
    </row>
    <row r="23" spans="1:7" ht="28.5" customHeight="1">
      <c r="A23" s="23" t="s">
        <v>306</v>
      </c>
      <c r="B23" s="11" t="s">
        <v>286</v>
      </c>
      <c r="C23" s="83">
        <v>54.9</v>
      </c>
      <c r="D23" s="19">
        <v>2</v>
      </c>
      <c r="E23" s="84">
        <f t="shared" si="1"/>
        <v>109.8</v>
      </c>
      <c r="F23" s="19"/>
      <c r="G23" s="111"/>
    </row>
    <row r="24" spans="1:7" ht="31.5" customHeight="1">
      <c r="A24" s="23" t="s">
        <v>307</v>
      </c>
      <c r="B24" s="11" t="s">
        <v>286</v>
      </c>
      <c r="C24" s="83">
        <v>139</v>
      </c>
      <c r="D24" s="19">
        <v>1</v>
      </c>
      <c r="E24" s="84">
        <f t="shared" si="1"/>
        <v>139</v>
      </c>
      <c r="F24" s="19"/>
      <c r="G24" s="111"/>
    </row>
    <row r="25" spans="1:7" ht="29.25" customHeight="1">
      <c r="A25" s="23" t="s">
        <v>308</v>
      </c>
      <c r="B25" s="11" t="s">
        <v>286</v>
      </c>
      <c r="C25" s="83">
        <v>79</v>
      </c>
      <c r="D25" s="19">
        <v>2</v>
      </c>
      <c r="E25" s="84">
        <f t="shared" si="1"/>
        <v>158</v>
      </c>
      <c r="F25" s="19"/>
      <c r="G25" s="111"/>
    </row>
    <row r="26" spans="1:7" ht="29.25" customHeight="1">
      <c r="A26" s="23" t="s">
        <v>309</v>
      </c>
      <c r="B26" s="11" t="s">
        <v>4</v>
      </c>
      <c r="C26" s="83">
        <f>3.6*1.196</f>
        <v>4.3056</v>
      </c>
      <c r="D26" s="19"/>
      <c r="E26" s="84">
        <f t="shared" si="1"/>
        <v>0</v>
      </c>
      <c r="F26" s="19">
        <v>2</v>
      </c>
      <c r="G26" s="111">
        <f>C26*F26</f>
        <v>8.6112</v>
      </c>
    </row>
    <row r="27" spans="1:7" ht="29.25" customHeight="1">
      <c r="A27" s="23" t="s">
        <v>310</v>
      </c>
      <c r="B27" s="11" t="s">
        <v>4</v>
      </c>
      <c r="C27" s="83">
        <v>5.85</v>
      </c>
      <c r="D27" s="19"/>
      <c r="E27" s="84">
        <f t="shared" si="1"/>
        <v>0</v>
      </c>
      <c r="F27" s="19">
        <v>2</v>
      </c>
      <c r="G27" s="111">
        <f>C27*F27</f>
        <v>11.7</v>
      </c>
    </row>
    <row r="28" spans="1:7" ht="29.25" customHeight="1">
      <c r="A28" s="23" t="s">
        <v>311</v>
      </c>
      <c r="B28" s="11" t="s">
        <v>312</v>
      </c>
      <c r="C28" s="83">
        <v>5</v>
      </c>
      <c r="D28" s="19"/>
      <c r="E28" s="84">
        <f t="shared" si="1"/>
        <v>0</v>
      </c>
      <c r="F28" s="19">
        <v>4</v>
      </c>
      <c r="G28" s="111">
        <f>C28*F28</f>
        <v>20</v>
      </c>
    </row>
    <row r="29" spans="1:7" ht="29.25" customHeight="1">
      <c r="A29" s="23" t="s">
        <v>313</v>
      </c>
      <c r="B29" s="11" t="s">
        <v>312</v>
      </c>
      <c r="C29" s="83">
        <f>6.12*1.196</f>
        <v>7.31952</v>
      </c>
      <c r="D29" s="19">
        <v>3</v>
      </c>
      <c r="E29" s="84">
        <f t="shared" si="1"/>
        <v>21.95856</v>
      </c>
      <c r="F29" s="19"/>
      <c r="G29" s="111"/>
    </row>
    <row r="30" spans="1:7" ht="29.25" customHeight="1">
      <c r="A30" s="23" t="s">
        <v>314</v>
      </c>
      <c r="B30" s="11" t="s">
        <v>315</v>
      </c>
      <c r="C30" s="83">
        <f>9.9*1.196</f>
        <v>11.8404</v>
      </c>
      <c r="D30" s="19">
        <v>4</v>
      </c>
      <c r="E30" s="84">
        <f t="shared" si="1"/>
        <v>47.3616</v>
      </c>
      <c r="F30" s="19"/>
      <c r="G30" s="111"/>
    </row>
    <row r="31" spans="1:7" ht="29.25" customHeight="1">
      <c r="A31" s="23" t="s">
        <v>316</v>
      </c>
      <c r="B31" s="11" t="s">
        <v>317</v>
      </c>
      <c r="C31" s="83">
        <f>17.68*1.196</f>
        <v>21.14528</v>
      </c>
      <c r="D31" s="19">
        <v>1</v>
      </c>
      <c r="E31" s="84">
        <f t="shared" si="1"/>
        <v>21.14528</v>
      </c>
      <c r="F31" s="19"/>
      <c r="G31" s="111"/>
    </row>
    <row r="32" spans="1:7" ht="29.25" customHeight="1">
      <c r="A32" s="23"/>
      <c r="B32" s="11"/>
      <c r="C32" s="83"/>
      <c r="D32" s="19"/>
      <c r="E32" s="84"/>
      <c r="F32" s="19"/>
      <c r="G32" s="111"/>
    </row>
    <row r="33" spans="1:7" ht="29.25" customHeight="1">
      <c r="A33" s="23"/>
      <c r="B33" s="11"/>
      <c r="C33" s="83"/>
      <c r="D33" s="19"/>
      <c r="E33" s="84"/>
      <c r="F33" s="19"/>
      <c r="G33" s="111"/>
    </row>
    <row r="34" spans="1:7" ht="29.25" customHeight="1">
      <c r="A34" s="23"/>
      <c r="B34" s="11"/>
      <c r="C34" s="83"/>
      <c r="D34" s="19"/>
      <c r="E34" s="84"/>
      <c r="F34" s="19"/>
      <c r="G34" s="111"/>
    </row>
    <row r="35" spans="1:7" ht="21.75" customHeight="1" thickBot="1">
      <c r="A35" s="78" t="s">
        <v>62</v>
      </c>
      <c r="B35" s="112"/>
      <c r="C35" s="113"/>
      <c r="D35" s="114"/>
      <c r="E35" s="115">
        <f>SUM(E5:E34)</f>
        <v>11486.761461999999</v>
      </c>
      <c r="F35" s="114"/>
      <c r="G35" s="116">
        <f>SUM(G3:G34)</f>
        <v>172.2112</v>
      </c>
    </row>
  </sheetData>
  <sheetProtection selectLockedCells="1" selectUnlockedCells="1"/>
  <mergeCells count="5">
    <mergeCell ref="F1:G1"/>
    <mergeCell ref="A1:A2"/>
    <mergeCell ref="B1:B2"/>
    <mergeCell ref="C1:C2"/>
    <mergeCell ref="D1:E1"/>
  </mergeCell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:G2"/>
    </sheetView>
  </sheetViews>
  <sheetFormatPr defaultColWidth="11.421875" defaultRowHeight="12.75"/>
  <cols>
    <col min="1" max="1" width="37.00390625" style="0" customWidth="1"/>
    <col min="2" max="2" width="9.140625" style="0" customWidth="1"/>
    <col min="3" max="3" width="11.421875" style="64" customWidth="1"/>
    <col min="4" max="4" width="8.57421875" style="0" customWidth="1"/>
    <col min="5" max="5" width="9.28125" style="64" customWidth="1"/>
    <col min="6" max="6" width="12.57421875" style="0" customWidth="1"/>
    <col min="7" max="7" width="11.57421875" style="64" customWidth="1"/>
    <col min="8" max="16384" width="11.57421875" style="0" customWidth="1"/>
  </cols>
  <sheetData>
    <row r="1" spans="1:7" ht="12.75">
      <c r="A1" s="71" t="s">
        <v>3</v>
      </c>
      <c r="B1" s="72" t="s">
        <v>4</v>
      </c>
      <c r="C1" s="73" t="s">
        <v>201</v>
      </c>
      <c r="D1" s="74" t="s">
        <v>63</v>
      </c>
      <c r="E1" s="74"/>
      <c r="F1" s="93" t="s">
        <v>72</v>
      </c>
      <c r="G1" s="94"/>
    </row>
    <row r="2" spans="1:7" ht="13.5" thickBot="1">
      <c r="A2" s="95"/>
      <c r="B2" s="96"/>
      <c r="C2" s="97"/>
      <c r="D2" s="56" t="s">
        <v>6</v>
      </c>
      <c r="E2" s="98" t="s">
        <v>64</v>
      </c>
      <c r="F2" s="56" t="s">
        <v>6</v>
      </c>
      <c r="G2" s="99" t="s">
        <v>213</v>
      </c>
    </row>
    <row r="3" spans="1:7" ht="21.75" customHeight="1">
      <c r="A3" s="20" t="s">
        <v>318</v>
      </c>
      <c r="B3" s="107" t="s">
        <v>4</v>
      </c>
      <c r="C3" s="108">
        <v>921.15</v>
      </c>
      <c r="D3" s="21">
        <v>1</v>
      </c>
      <c r="E3" s="109">
        <f>C3</f>
        <v>921.15</v>
      </c>
      <c r="F3" s="21"/>
      <c r="G3" s="110"/>
    </row>
    <row r="4" spans="1:7" ht="21.75" customHeight="1">
      <c r="A4" s="23" t="s">
        <v>319</v>
      </c>
      <c r="B4" s="11" t="s">
        <v>4</v>
      </c>
      <c r="C4" s="83">
        <f>2.76*1.196</f>
        <v>3.3009599999999995</v>
      </c>
      <c r="D4" s="19">
        <v>2</v>
      </c>
      <c r="E4" s="84">
        <f aca="true" t="shared" si="0" ref="E4:E9">C4*D4</f>
        <v>6.601919999999999</v>
      </c>
      <c r="F4" s="19"/>
      <c r="G4" s="111"/>
    </row>
    <row r="5" spans="1:7" ht="21.75" customHeight="1">
      <c r="A5" s="23" t="s">
        <v>320</v>
      </c>
      <c r="B5" s="11" t="s">
        <v>4</v>
      </c>
      <c r="C5" s="83">
        <f>4.6*1.196</f>
        <v>5.501599999999999</v>
      </c>
      <c r="D5" s="19">
        <v>1</v>
      </c>
      <c r="E5" s="84">
        <f t="shared" si="0"/>
        <v>5.501599999999999</v>
      </c>
      <c r="F5" s="19"/>
      <c r="G5" s="111"/>
    </row>
    <row r="6" spans="1:7" ht="21.75" customHeight="1">
      <c r="A6" s="23" t="s">
        <v>321</v>
      </c>
      <c r="B6" s="11" t="s">
        <v>4</v>
      </c>
      <c r="C6" s="83">
        <f>4.54*1.196</f>
        <v>5.4298399999999996</v>
      </c>
      <c r="D6" s="19">
        <v>1</v>
      </c>
      <c r="E6" s="84">
        <f t="shared" si="0"/>
        <v>5.4298399999999996</v>
      </c>
      <c r="F6" s="19"/>
      <c r="G6" s="111"/>
    </row>
    <row r="7" spans="1:7" ht="21.75" customHeight="1">
      <c r="A7" s="23" t="s">
        <v>322</v>
      </c>
      <c r="B7" s="11" t="s">
        <v>40</v>
      </c>
      <c r="C7" s="83">
        <f>2.27*1.196</f>
        <v>2.7149199999999998</v>
      </c>
      <c r="D7" s="19">
        <v>4</v>
      </c>
      <c r="E7" s="84">
        <f t="shared" si="0"/>
        <v>10.859679999999999</v>
      </c>
      <c r="F7" s="19"/>
      <c r="G7" s="111"/>
    </row>
    <row r="8" spans="1:7" ht="21.75" customHeight="1">
      <c r="A8" s="23" t="s">
        <v>323</v>
      </c>
      <c r="B8" s="11" t="s">
        <v>4</v>
      </c>
      <c r="C8" s="83">
        <f>2.62*1.196</f>
        <v>3.13352</v>
      </c>
      <c r="D8" s="19">
        <v>1</v>
      </c>
      <c r="E8" s="84">
        <f t="shared" si="0"/>
        <v>3.13352</v>
      </c>
      <c r="F8" s="19"/>
      <c r="G8" s="111"/>
    </row>
    <row r="9" spans="1:7" ht="21.75" customHeight="1">
      <c r="A9" s="23" t="s">
        <v>324</v>
      </c>
      <c r="B9" s="11" t="s">
        <v>4</v>
      </c>
      <c r="C9" s="83">
        <f>3.41*1.196</f>
        <v>4.07836</v>
      </c>
      <c r="D9" s="19">
        <v>1</v>
      </c>
      <c r="E9" s="84">
        <f t="shared" si="0"/>
        <v>4.07836</v>
      </c>
      <c r="F9" s="19"/>
      <c r="G9" s="111"/>
    </row>
    <row r="10" spans="1:7" ht="21.75" customHeight="1">
      <c r="A10" s="23" t="s">
        <v>325</v>
      </c>
      <c r="B10" s="11" t="s">
        <v>99</v>
      </c>
      <c r="C10" s="83">
        <v>80</v>
      </c>
      <c r="D10" s="19">
        <v>1</v>
      </c>
      <c r="E10" s="85">
        <v>80</v>
      </c>
      <c r="F10" s="19"/>
      <c r="G10" s="111"/>
    </row>
    <row r="11" spans="1:7" ht="21.75" customHeight="1">
      <c r="A11" s="23" t="s">
        <v>326</v>
      </c>
      <c r="B11" s="11" t="s">
        <v>4</v>
      </c>
      <c r="C11" s="83">
        <v>89</v>
      </c>
      <c r="D11" s="19">
        <v>2</v>
      </c>
      <c r="E11" s="84">
        <f aca="true" t="shared" si="1" ref="E11:E17">C11*D11</f>
        <v>178</v>
      </c>
      <c r="F11" s="19"/>
      <c r="G11" s="111"/>
    </row>
    <row r="12" spans="1:7" ht="21.75" customHeight="1">
      <c r="A12" s="23" t="s">
        <v>327</v>
      </c>
      <c r="B12" s="11" t="s">
        <v>4</v>
      </c>
      <c r="C12" s="83">
        <v>43.1</v>
      </c>
      <c r="D12" s="19">
        <v>2</v>
      </c>
      <c r="E12" s="84">
        <f t="shared" si="1"/>
        <v>86.2</v>
      </c>
      <c r="F12" s="19"/>
      <c r="G12" s="111"/>
    </row>
    <row r="13" spans="1:7" ht="21.75" customHeight="1">
      <c r="A13" s="23" t="s">
        <v>328</v>
      </c>
      <c r="B13" s="11" t="s">
        <v>4</v>
      </c>
      <c r="C13" s="83">
        <v>80.7</v>
      </c>
      <c r="D13" s="19">
        <v>1</v>
      </c>
      <c r="E13" s="84">
        <f t="shared" si="1"/>
        <v>80.7</v>
      </c>
      <c r="F13" s="19"/>
      <c r="G13" s="111"/>
    </row>
    <row r="14" spans="1:7" ht="21.75" customHeight="1">
      <c r="A14" s="23" t="s">
        <v>329</v>
      </c>
      <c r="B14" s="11" t="s">
        <v>4</v>
      </c>
      <c r="C14" s="83">
        <v>64.9</v>
      </c>
      <c r="D14" s="19">
        <v>1</v>
      </c>
      <c r="E14" s="84">
        <f t="shared" si="1"/>
        <v>64.9</v>
      </c>
      <c r="F14" s="19"/>
      <c r="G14" s="111"/>
    </row>
    <row r="15" spans="1:7" ht="21.75" customHeight="1">
      <c r="A15" s="23" t="s">
        <v>330</v>
      </c>
      <c r="B15" s="11" t="s">
        <v>4</v>
      </c>
      <c r="C15" s="83">
        <v>69</v>
      </c>
      <c r="D15" s="19">
        <v>1</v>
      </c>
      <c r="E15" s="84">
        <f t="shared" si="1"/>
        <v>69</v>
      </c>
      <c r="F15" s="19"/>
      <c r="G15" s="111"/>
    </row>
    <row r="16" spans="1:7" ht="21.75" customHeight="1">
      <c r="A16" s="23" t="s">
        <v>331</v>
      </c>
      <c r="B16" s="11" t="s">
        <v>4</v>
      </c>
      <c r="C16" s="83">
        <v>52.9</v>
      </c>
      <c r="D16" s="19">
        <v>2</v>
      </c>
      <c r="E16" s="84">
        <f t="shared" si="1"/>
        <v>105.8</v>
      </c>
      <c r="F16" s="19"/>
      <c r="G16" s="111"/>
    </row>
    <row r="17" spans="1:7" ht="21.75" customHeight="1">
      <c r="A17" s="23" t="s">
        <v>332</v>
      </c>
      <c r="B17" s="11" t="s">
        <v>79</v>
      </c>
      <c r="C17" s="83">
        <f>39.92*1.196</f>
        <v>47.74432</v>
      </c>
      <c r="D17" s="19">
        <v>1</v>
      </c>
      <c r="E17" s="84">
        <f t="shared" si="1"/>
        <v>47.74432</v>
      </c>
      <c r="F17" s="19"/>
      <c r="G17" s="111"/>
    </row>
    <row r="18" spans="1:7" ht="21.75" customHeight="1">
      <c r="A18" s="23" t="s">
        <v>333</v>
      </c>
      <c r="B18" s="11"/>
      <c r="C18" s="83"/>
      <c r="D18" s="19"/>
      <c r="E18" s="84">
        <v>67.85</v>
      </c>
      <c r="F18" s="19"/>
      <c r="G18" s="111"/>
    </row>
    <row r="19" spans="1:7" ht="21.75" customHeight="1">
      <c r="A19" s="23" t="s">
        <v>334</v>
      </c>
      <c r="B19" s="11" t="s">
        <v>83</v>
      </c>
      <c r="C19" s="83">
        <f>71.16/50</f>
        <v>1.4232</v>
      </c>
      <c r="D19" s="19">
        <v>50</v>
      </c>
      <c r="E19" s="84">
        <f>C19*D19</f>
        <v>71.16</v>
      </c>
      <c r="F19" s="19"/>
      <c r="G19" s="111"/>
    </row>
    <row r="20" spans="1:7" ht="21.75" customHeight="1">
      <c r="A20" s="23" t="s">
        <v>335</v>
      </c>
      <c r="B20" s="11" t="s">
        <v>336</v>
      </c>
      <c r="C20" s="83">
        <v>89</v>
      </c>
      <c r="D20" s="19">
        <v>1</v>
      </c>
      <c r="E20" s="84">
        <f>C20*D20</f>
        <v>89</v>
      </c>
      <c r="F20" s="19"/>
      <c r="G20" s="111"/>
    </row>
    <row r="21" spans="1:7" ht="21.75" customHeight="1">
      <c r="A21" s="23" t="s">
        <v>337</v>
      </c>
      <c r="B21" s="11" t="s">
        <v>257</v>
      </c>
      <c r="C21" s="83">
        <f>1.05*1.196</f>
        <v>1.2558</v>
      </c>
      <c r="D21" s="19">
        <v>12</v>
      </c>
      <c r="E21" s="84">
        <f>C21*D21</f>
        <v>15.069600000000001</v>
      </c>
      <c r="F21" s="19"/>
      <c r="G21" s="111"/>
    </row>
    <row r="22" spans="1:7" ht="21.75" customHeight="1">
      <c r="A22" s="23" t="s">
        <v>338</v>
      </c>
      <c r="B22" s="11"/>
      <c r="C22" s="83"/>
      <c r="D22" s="19"/>
      <c r="E22" s="84"/>
      <c r="F22" s="19"/>
      <c r="G22" s="111">
        <v>12.14</v>
      </c>
    </row>
    <row r="23" spans="1:7" ht="21.75" customHeight="1">
      <c r="A23" s="23" t="s">
        <v>339</v>
      </c>
      <c r="B23" s="11" t="s">
        <v>4</v>
      </c>
      <c r="C23" s="83">
        <v>4.6</v>
      </c>
      <c r="D23" s="19"/>
      <c r="E23" s="84"/>
      <c r="F23" s="19">
        <v>2</v>
      </c>
      <c r="G23" s="111">
        <f aca="true" t="shared" si="2" ref="G23:G30">C23*F23</f>
        <v>9.2</v>
      </c>
    </row>
    <row r="24" spans="1:7" ht="21.75" customHeight="1">
      <c r="A24" s="23" t="s">
        <v>340</v>
      </c>
      <c r="B24" s="11" t="s">
        <v>4</v>
      </c>
      <c r="C24" s="83">
        <v>10.4</v>
      </c>
      <c r="D24" s="19"/>
      <c r="E24" s="84"/>
      <c r="F24" s="19">
        <v>2</v>
      </c>
      <c r="G24" s="111">
        <f t="shared" si="2"/>
        <v>20.8</v>
      </c>
    </row>
    <row r="25" spans="1:7" ht="21.75" customHeight="1">
      <c r="A25" s="23" t="s">
        <v>341</v>
      </c>
      <c r="B25" s="11" t="s">
        <v>4</v>
      </c>
      <c r="C25" s="83">
        <v>1.2</v>
      </c>
      <c r="D25" s="19"/>
      <c r="E25" s="84"/>
      <c r="F25" s="19">
        <v>1</v>
      </c>
      <c r="G25" s="111">
        <f t="shared" si="2"/>
        <v>1.2</v>
      </c>
    </row>
    <row r="26" spans="1:7" ht="21.75" customHeight="1">
      <c r="A26" s="23" t="s">
        <v>342</v>
      </c>
      <c r="B26" s="11" t="s">
        <v>4</v>
      </c>
      <c r="C26" s="83">
        <v>2.55</v>
      </c>
      <c r="D26" s="19"/>
      <c r="E26" s="84"/>
      <c r="F26" s="19">
        <v>1</v>
      </c>
      <c r="G26" s="111">
        <f t="shared" si="2"/>
        <v>2.55</v>
      </c>
    </row>
    <row r="27" spans="1:7" ht="21.75" customHeight="1">
      <c r="A27" s="23" t="s">
        <v>343</v>
      </c>
      <c r="B27" s="11" t="s">
        <v>4</v>
      </c>
      <c r="C27" s="83">
        <f>2.56*1.196</f>
        <v>3.06176</v>
      </c>
      <c r="D27" s="19"/>
      <c r="E27" s="84"/>
      <c r="F27" s="19">
        <v>1</v>
      </c>
      <c r="G27" s="111">
        <f t="shared" si="2"/>
        <v>3.06176</v>
      </c>
    </row>
    <row r="28" spans="1:7" ht="21.75" customHeight="1">
      <c r="A28" s="23" t="s">
        <v>344</v>
      </c>
      <c r="B28" s="11" t="s">
        <v>4</v>
      </c>
      <c r="C28" s="83">
        <f>0.94*1.196</f>
        <v>1.1242400000000001</v>
      </c>
      <c r="D28" s="19"/>
      <c r="E28" s="84"/>
      <c r="F28" s="19">
        <v>2</v>
      </c>
      <c r="G28" s="111">
        <f t="shared" si="2"/>
        <v>2.2484800000000003</v>
      </c>
    </row>
    <row r="29" spans="1:7" ht="21.75" customHeight="1">
      <c r="A29" s="23" t="s">
        <v>345</v>
      </c>
      <c r="B29" s="11" t="s">
        <v>4</v>
      </c>
      <c r="C29" s="83">
        <f>2.56*1.196</f>
        <v>3.06176</v>
      </c>
      <c r="D29" s="19"/>
      <c r="E29" s="84"/>
      <c r="F29" s="19">
        <v>1</v>
      </c>
      <c r="G29" s="111">
        <f t="shared" si="2"/>
        <v>3.06176</v>
      </c>
    </row>
    <row r="30" spans="1:7" ht="21.75" customHeight="1">
      <c r="A30" s="23" t="s">
        <v>346</v>
      </c>
      <c r="B30" s="11" t="s">
        <v>4</v>
      </c>
      <c r="C30" s="83">
        <f>1.01*1.196</f>
        <v>1.20796</v>
      </c>
      <c r="D30" s="19"/>
      <c r="E30" s="84"/>
      <c r="F30" s="19">
        <v>2</v>
      </c>
      <c r="G30" s="111">
        <f t="shared" si="2"/>
        <v>2.41592</v>
      </c>
    </row>
    <row r="31" spans="1:7" ht="21.75" customHeight="1">
      <c r="A31" s="23" t="s">
        <v>347</v>
      </c>
      <c r="B31" s="11"/>
      <c r="C31" s="83"/>
      <c r="D31" s="19"/>
      <c r="E31" s="84">
        <f>316.52</f>
        <v>316.52</v>
      </c>
      <c r="F31" s="19"/>
      <c r="G31" s="111"/>
    </row>
    <row r="32" spans="1:7" ht="21.75" customHeight="1">
      <c r="A32" s="23" t="s">
        <v>348</v>
      </c>
      <c r="B32" s="11" t="s">
        <v>4</v>
      </c>
      <c r="C32" s="83">
        <v>5.5</v>
      </c>
      <c r="D32" s="19">
        <v>2</v>
      </c>
      <c r="E32" s="84">
        <f>C32*D32</f>
        <v>11</v>
      </c>
      <c r="F32" s="19"/>
      <c r="G32" s="111"/>
    </row>
    <row r="33" spans="1:7" ht="27.75" customHeight="1">
      <c r="A33" s="23" t="s">
        <v>349</v>
      </c>
      <c r="B33" s="11"/>
      <c r="C33" s="83"/>
      <c r="D33" s="19"/>
      <c r="E33" s="84"/>
      <c r="F33" s="19"/>
      <c r="G33" s="111">
        <f>60.55+5+4.5+2.54</f>
        <v>72.59</v>
      </c>
    </row>
    <row r="34" spans="1:7" ht="21.75" customHeight="1">
      <c r="A34" s="23"/>
      <c r="B34" s="11"/>
      <c r="C34" s="83"/>
      <c r="D34" s="19"/>
      <c r="E34" s="84"/>
      <c r="F34" s="19"/>
      <c r="G34" s="111"/>
    </row>
    <row r="35" spans="1:7" ht="13.5" thickBot="1">
      <c r="A35" s="78" t="s">
        <v>62</v>
      </c>
      <c r="B35" s="112"/>
      <c r="C35" s="113"/>
      <c r="D35" s="114"/>
      <c r="E35" s="115">
        <f>SUM(E3:E34)</f>
        <v>2239.69884</v>
      </c>
      <c r="F35" s="114"/>
      <c r="G35" s="116">
        <f>SUM(G3:G34)</f>
        <v>129.26792</v>
      </c>
    </row>
  </sheetData>
  <sheetProtection selectLockedCells="1" selectUnlockedCells="1"/>
  <mergeCells count="5">
    <mergeCell ref="F1:G1"/>
    <mergeCell ref="A1:A2"/>
    <mergeCell ref="B1:B2"/>
    <mergeCell ref="C1:C2"/>
    <mergeCell ref="D1:E1"/>
  </mergeCell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F28" sqref="F28"/>
    </sheetView>
  </sheetViews>
  <sheetFormatPr defaultColWidth="11.421875" defaultRowHeight="18" customHeight="1"/>
  <cols>
    <col min="1" max="1" width="36.421875" style="0" customWidth="1"/>
    <col min="2" max="2" width="15.421875" style="0" customWidth="1"/>
    <col min="3" max="3" width="11.140625" style="64" customWidth="1"/>
    <col min="4" max="4" width="9.7109375" style="0" customWidth="1"/>
    <col min="5" max="5" width="11.57421875" style="64" customWidth="1"/>
    <col min="6" max="6" width="12.421875" style="0" customWidth="1"/>
    <col min="7" max="7" width="10.7109375" style="64" customWidth="1"/>
    <col min="8" max="16384" width="11.57421875" style="0" customWidth="1"/>
  </cols>
  <sheetData>
    <row r="1" spans="1:7" ht="12.75">
      <c r="A1" s="28" t="s">
        <v>3</v>
      </c>
      <c r="B1" s="36" t="s">
        <v>4</v>
      </c>
      <c r="C1" s="37" t="s">
        <v>201</v>
      </c>
      <c r="D1" s="29" t="s">
        <v>63</v>
      </c>
      <c r="E1" s="29"/>
      <c r="F1" s="38" t="s">
        <v>72</v>
      </c>
      <c r="G1" s="100"/>
    </row>
    <row r="2" spans="1:7" ht="13.5" thickBot="1">
      <c r="A2" s="31"/>
      <c r="B2" s="40"/>
      <c r="C2" s="41"/>
      <c r="D2" s="32" t="s">
        <v>6</v>
      </c>
      <c r="E2" s="101" t="s">
        <v>64</v>
      </c>
      <c r="F2" s="32" t="s">
        <v>6</v>
      </c>
      <c r="G2" s="102" t="s">
        <v>64</v>
      </c>
    </row>
    <row r="3" spans="1:7" ht="18" customHeight="1">
      <c r="A3" s="20" t="s">
        <v>350</v>
      </c>
      <c r="B3" s="107" t="s">
        <v>4</v>
      </c>
      <c r="C3" s="108">
        <v>0.95</v>
      </c>
      <c r="D3" s="21">
        <v>68</v>
      </c>
      <c r="E3" s="109">
        <f>C3*D3</f>
        <v>64.6</v>
      </c>
      <c r="F3" s="21"/>
      <c r="G3" s="110"/>
    </row>
    <row r="4" spans="1:7" ht="18" customHeight="1">
      <c r="A4" s="23" t="s">
        <v>351</v>
      </c>
      <c r="B4" s="11" t="s">
        <v>352</v>
      </c>
      <c r="C4" s="83">
        <v>20.3</v>
      </c>
      <c r="D4" s="19">
        <v>1</v>
      </c>
      <c r="E4" s="84">
        <f>C4*D4</f>
        <v>20.3</v>
      </c>
      <c r="F4" s="19"/>
      <c r="G4" s="111"/>
    </row>
    <row r="5" spans="1:7" ht="18" customHeight="1">
      <c r="A5" s="23" t="s">
        <v>353</v>
      </c>
      <c r="B5" s="11" t="s">
        <v>175</v>
      </c>
      <c r="C5" s="83">
        <v>37.5</v>
      </c>
      <c r="D5" s="19">
        <v>8</v>
      </c>
      <c r="E5" s="84">
        <f>C5*D5</f>
        <v>300</v>
      </c>
      <c r="F5" s="19"/>
      <c r="G5" s="111"/>
    </row>
    <row r="6" spans="1:7" ht="18" customHeight="1">
      <c r="A6" s="23" t="s">
        <v>354</v>
      </c>
      <c r="B6" s="11" t="s">
        <v>4</v>
      </c>
      <c r="C6" s="83">
        <v>89</v>
      </c>
      <c r="D6" s="19">
        <v>2</v>
      </c>
      <c r="E6" s="84">
        <f>C6*D6</f>
        <v>178</v>
      </c>
      <c r="F6" s="19"/>
      <c r="G6" s="111"/>
    </row>
    <row r="7" spans="1:7" ht="18" customHeight="1">
      <c r="A7" s="23" t="s">
        <v>355</v>
      </c>
      <c r="B7" s="11" t="s">
        <v>4</v>
      </c>
      <c r="C7" s="83">
        <v>279</v>
      </c>
      <c r="D7" s="19">
        <v>2</v>
      </c>
      <c r="E7" s="84">
        <f>PRODUCT(C7,D7)</f>
        <v>558</v>
      </c>
      <c r="F7" s="19"/>
      <c r="G7" s="111"/>
    </row>
    <row r="8" spans="1:7" ht="18" customHeight="1">
      <c r="A8" s="23" t="s">
        <v>356</v>
      </c>
      <c r="B8" s="11" t="s">
        <v>75</v>
      </c>
      <c r="C8" s="83">
        <v>7</v>
      </c>
      <c r="D8" s="19">
        <v>10</v>
      </c>
      <c r="E8" s="84">
        <v>70</v>
      </c>
      <c r="F8" s="19"/>
      <c r="G8" s="111"/>
    </row>
    <row r="9" spans="1:7" ht="18" customHeight="1">
      <c r="A9" s="23" t="s">
        <v>357</v>
      </c>
      <c r="B9" s="11" t="s">
        <v>358</v>
      </c>
      <c r="C9" s="83">
        <v>4.15</v>
      </c>
      <c r="D9" s="19">
        <v>2</v>
      </c>
      <c r="E9" s="84">
        <f aca="true" t="shared" si="0" ref="E9:E14">C9*D9</f>
        <v>8.3</v>
      </c>
      <c r="F9" s="19"/>
      <c r="G9" s="111"/>
    </row>
    <row r="10" spans="1:7" ht="18" customHeight="1">
      <c r="A10" s="23" t="s">
        <v>359</v>
      </c>
      <c r="B10" s="11" t="s">
        <v>4</v>
      </c>
      <c r="C10" s="83">
        <v>7.6</v>
      </c>
      <c r="D10" s="19">
        <v>12</v>
      </c>
      <c r="E10" s="84">
        <f t="shared" si="0"/>
        <v>91.19999999999999</v>
      </c>
      <c r="F10" s="19"/>
      <c r="G10" s="111"/>
    </row>
    <row r="11" spans="1:7" ht="18" customHeight="1">
      <c r="A11" s="23" t="s">
        <v>360</v>
      </c>
      <c r="B11" s="11" t="s">
        <v>4</v>
      </c>
      <c r="C11" s="83">
        <v>18.5</v>
      </c>
      <c r="D11" s="19">
        <v>6</v>
      </c>
      <c r="E11" s="84">
        <f t="shared" si="0"/>
        <v>111</v>
      </c>
      <c r="F11" s="19"/>
      <c r="G11" s="111"/>
    </row>
    <row r="12" spans="1:7" ht="18" customHeight="1">
      <c r="A12" s="23" t="s">
        <v>361</v>
      </c>
      <c r="B12" s="11" t="s">
        <v>4</v>
      </c>
      <c r="C12" s="83">
        <v>1.97</v>
      </c>
      <c r="D12" s="19">
        <v>18</v>
      </c>
      <c r="E12" s="84">
        <f t="shared" si="0"/>
        <v>35.46</v>
      </c>
      <c r="F12" s="19"/>
      <c r="G12" s="111"/>
    </row>
    <row r="13" spans="1:7" ht="18" customHeight="1">
      <c r="A13" s="23" t="s">
        <v>362</v>
      </c>
      <c r="B13" s="11" t="s">
        <v>4</v>
      </c>
      <c r="C13" s="83">
        <v>1.87</v>
      </c>
      <c r="D13" s="19">
        <v>4</v>
      </c>
      <c r="E13" s="84">
        <f t="shared" si="0"/>
        <v>7.48</v>
      </c>
      <c r="F13" s="19"/>
      <c r="G13" s="111"/>
    </row>
    <row r="14" spans="1:7" ht="18" customHeight="1">
      <c r="A14" s="23" t="s">
        <v>363</v>
      </c>
      <c r="B14" s="11" t="s">
        <v>364</v>
      </c>
      <c r="C14" s="83">
        <f>12.25*1.196</f>
        <v>14.651</v>
      </c>
      <c r="D14" s="19">
        <v>10</v>
      </c>
      <c r="E14" s="84">
        <f t="shared" si="0"/>
        <v>146.51</v>
      </c>
      <c r="F14" s="19"/>
      <c r="G14" s="111"/>
    </row>
    <row r="15" spans="1:7" ht="18" customHeight="1">
      <c r="A15" s="23" t="s">
        <v>365</v>
      </c>
      <c r="B15" s="11" t="s">
        <v>151</v>
      </c>
      <c r="C15" s="83">
        <f>5.79*1.196</f>
        <v>6.92484</v>
      </c>
      <c r="D15" s="19"/>
      <c r="E15" s="84"/>
      <c r="F15" s="19">
        <v>9.1</v>
      </c>
      <c r="G15" s="111">
        <f>C15*F15</f>
        <v>63.016043999999994</v>
      </c>
    </row>
    <row r="16" spans="1:7" ht="18" customHeight="1">
      <c r="A16" s="23" t="s">
        <v>366</v>
      </c>
      <c r="B16" s="11" t="s">
        <v>83</v>
      </c>
      <c r="C16" s="83">
        <f>0.91*1.196</f>
        <v>1.08836</v>
      </c>
      <c r="D16" s="19"/>
      <c r="E16" s="84"/>
      <c r="F16" s="19">
        <v>21</v>
      </c>
      <c r="G16" s="111">
        <f>C16*F16</f>
        <v>22.85556</v>
      </c>
    </row>
    <row r="17" spans="1:7" ht="18" customHeight="1">
      <c r="A17" s="23" t="s">
        <v>367</v>
      </c>
      <c r="B17" s="11" t="s">
        <v>83</v>
      </c>
      <c r="C17" s="83">
        <f>1.2*1.196</f>
        <v>1.4351999999999998</v>
      </c>
      <c r="D17" s="19"/>
      <c r="E17" s="84"/>
      <c r="F17" s="19">
        <v>9</v>
      </c>
      <c r="G17" s="111">
        <f>C17*F17</f>
        <v>12.916799999999999</v>
      </c>
    </row>
    <row r="18" spans="1:7" ht="18" customHeight="1">
      <c r="A18" s="23" t="s">
        <v>368</v>
      </c>
      <c r="B18" s="11"/>
      <c r="C18" s="83"/>
      <c r="D18" s="19"/>
      <c r="E18" s="84"/>
      <c r="F18" s="19"/>
      <c r="G18" s="111">
        <f>72.94-11-14.9</f>
        <v>47.04</v>
      </c>
    </row>
    <row r="19" spans="1:7" ht="18" customHeight="1">
      <c r="A19" s="23" t="s">
        <v>369</v>
      </c>
      <c r="B19" s="11" t="s">
        <v>40</v>
      </c>
      <c r="C19" s="83">
        <v>6.9</v>
      </c>
      <c r="D19" s="19"/>
      <c r="E19" s="84"/>
      <c r="F19" s="19">
        <v>2</v>
      </c>
      <c r="G19" s="111">
        <f>C19*F19</f>
        <v>13.8</v>
      </c>
    </row>
    <row r="20" spans="1:7" ht="18" customHeight="1">
      <c r="A20" s="23" t="s">
        <v>370</v>
      </c>
      <c r="B20" s="11" t="s">
        <v>255</v>
      </c>
      <c r="C20" s="83">
        <v>3.95</v>
      </c>
      <c r="D20" s="19"/>
      <c r="E20" s="84"/>
      <c r="F20" s="19">
        <v>2</v>
      </c>
      <c r="G20" s="111">
        <f>C20*F20</f>
        <v>7.9</v>
      </c>
    </row>
    <row r="21" spans="1:7" ht="18" customHeight="1">
      <c r="A21" s="23" t="s">
        <v>371</v>
      </c>
      <c r="B21" s="11" t="s">
        <v>372</v>
      </c>
      <c r="C21" s="83">
        <v>7.9</v>
      </c>
      <c r="D21" s="19"/>
      <c r="E21" s="84"/>
      <c r="F21" s="19">
        <v>8</v>
      </c>
      <c r="G21" s="111">
        <f>C21*F21</f>
        <v>63.2</v>
      </c>
    </row>
    <row r="22" spans="1:7" ht="24.75" customHeight="1">
      <c r="A22" s="76" t="s">
        <v>373</v>
      </c>
      <c r="B22" s="11"/>
      <c r="C22" s="83"/>
      <c r="D22" s="19"/>
      <c r="E22" s="84"/>
      <c r="F22" s="19"/>
      <c r="G22" s="111">
        <v>44.15</v>
      </c>
    </row>
    <row r="23" spans="1:7" ht="18" customHeight="1">
      <c r="A23" s="23" t="s">
        <v>374</v>
      </c>
      <c r="B23" s="11" t="s">
        <v>83</v>
      </c>
      <c r="C23" s="83">
        <f>4.43*1.196</f>
        <v>5.298279999999999</v>
      </c>
      <c r="D23" s="19"/>
      <c r="E23" s="84"/>
      <c r="F23" s="19">
        <v>3</v>
      </c>
      <c r="G23" s="111">
        <v>45.15</v>
      </c>
    </row>
    <row r="24" spans="1:7" ht="18" customHeight="1">
      <c r="A24" s="23"/>
      <c r="B24" s="11"/>
      <c r="C24" s="83"/>
      <c r="D24" s="19"/>
      <c r="E24" s="84"/>
      <c r="F24" s="19"/>
      <c r="G24" s="111"/>
    </row>
    <row r="25" spans="1:7" ht="18" customHeight="1">
      <c r="A25" s="23"/>
      <c r="B25" s="11"/>
      <c r="C25" s="83"/>
      <c r="D25" s="19"/>
      <c r="E25" s="84"/>
      <c r="F25" s="19"/>
      <c r="G25" s="111"/>
    </row>
    <row r="26" spans="1:7" ht="18" customHeight="1" thickBot="1">
      <c r="A26" s="78" t="s">
        <v>62</v>
      </c>
      <c r="B26" s="112"/>
      <c r="C26" s="113"/>
      <c r="D26" s="114"/>
      <c r="E26" s="115">
        <f>SUM(E3:E25)</f>
        <v>1590.8500000000001</v>
      </c>
      <c r="F26" s="114"/>
      <c r="G26" s="116">
        <f>SUM(G3:G23)</f>
        <v>320.02840399999997</v>
      </c>
    </row>
    <row r="29" ht="18" customHeight="1">
      <c r="B29">
        <f>63.2/7.9</f>
        <v>8</v>
      </c>
    </row>
  </sheetData>
  <sheetProtection selectLockedCells="1" selectUnlockedCells="1"/>
  <mergeCells count="5">
    <mergeCell ref="F1:G1"/>
    <mergeCell ref="A1:A2"/>
    <mergeCell ref="B1:B2"/>
    <mergeCell ref="C1:C2"/>
    <mergeCell ref="D1:E1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F1" sqref="A1:G2"/>
    </sheetView>
  </sheetViews>
  <sheetFormatPr defaultColWidth="11.421875" defaultRowHeight="12.75"/>
  <cols>
    <col min="1" max="1" width="58.140625" style="0" customWidth="1"/>
    <col min="2" max="2" width="16.7109375" style="0" customWidth="1"/>
    <col min="3" max="3" width="11.421875" style="64" customWidth="1"/>
    <col min="4" max="4" width="8.57421875" style="0" customWidth="1"/>
    <col min="5" max="5" width="11.140625" style="64" customWidth="1"/>
    <col min="6" max="6" width="10.8515625" style="0" customWidth="1"/>
    <col min="7" max="7" width="10.7109375" style="64" customWidth="1"/>
    <col min="8" max="16384" width="11.57421875" style="0" customWidth="1"/>
  </cols>
  <sheetData>
    <row r="1" spans="1:7" ht="12.75">
      <c r="A1" s="28" t="s">
        <v>3</v>
      </c>
      <c r="B1" s="36" t="s">
        <v>4</v>
      </c>
      <c r="C1" s="37" t="s">
        <v>201</v>
      </c>
      <c r="D1" s="29" t="s">
        <v>63</v>
      </c>
      <c r="E1" s="29"/>
      <c r="F1" s="38" t="s">
        <v>72</v>
      </c>
      <c r="G1" s="100"/>
    </row>
    <row r="2" spans="1:7" ht="13.5" thickBot="1">
      <c r="A2" s="31"/>
      <c r="B2" s="40"/>
      <c r="C2" s="41"/>
      <c r="D2" s="32" t="s">
        <v>6</v>
      </c>
      <c r="E2" s="101" t="s">
        <v>64</v>
      </c>
      <c r="F2" s="32" t="s">
        <v>6</v>
      </c>
      <c r="G2" s="102" t="s">
        <v>213</v>
      </c>
    </row>
    <row r="3" spans="1:7" ht="20.25" customHeight="1">
      <c r="A3" s="33" t="s">
        <v>375</v>
      </c>
      <c r="B3" s="34"/>
      <c r="C3" s="35"/>
      <c r="D3" s="90"/>
      <c r="E3" s="91">
        <v>33509.1</v>
      </c>
      <c r="F3" s="92"/>
      <c r="G3" s="91"/>
    </row>
    <row r="4" spans="1:7" ht="28.5" customHeight="1">
      <c r="A4" s="11" t="s">
        <v>376</v>
      </c>
      <c r="B4" s="11" t="s">
        <v>75</v>
      </c>
      <c r="C4" s="83">
        <f>(7.65+1.21)*1.196</f>
        <v>10.596559999999998</v>
      </c>
      <c r="D4" s="19">
        <v>180.12</v>
      </c>
      <c r="E4" s="84">
        <f>C4*D4</f>
        <v>1908.6523871999998</v>
      </c>
      <c r="F4" s="19"/>
      <c r="G4" s="84"/>
    </row>
    <row r="5" spans="1:7" ht="30.75" customHeight="1">
      <c r="A5" s="11" t="s">
        <v>377</v>
      </c>
      <c r="B5" s="11" t="s">
        <v>75</v>
      </c>
      <c r="C5" s="83">
        <f>(7.65+0.74)*1.196</f>
        <v>10.03444</v>
      </c>
      <c r="D5" s="19">
        <v>40.4</v>
      </c>
      <c r="E5" s="84">
        <f>C5*D5</f>
        <v>405.391376</v>
      </c>
      <c r="F5" s="19"/>
      <c r="G5" s="84"/>
    </row>
    <row r="6" spans="1:7" ht="30.75" customHeight="1">
      <c r="A6" s="11" t="s">
        <v>378</v>
      </c>
      <c r="B6" s="11" t="s">
        <v>75</v>
      </c>
      <c r="C6" s="83">
        <f>8.39*1.196</f>
        <v>10.03444</v>
      </c>
      <c r="D6" s="19">
        <v>30</v>
      </c>
      <c r="E6" s="84">
        <f>C6*D6</f>
        <v>301.0332</v>
      </c>
      <c r="F6" s="19"/>
      <c r="G6" s="84"/>
    </row>
    <row r="7" spans="1:7" ht="21.75" customHeight="1">
      <c r="A7" s="11" t="s">
        <v>379</v>
      </c>
      <c r="B7" s="11" t="s">
        <v>75</v>
      </c>
      <c r="C7" s="83">
        <f>6.18*1.196</f>
        <v>7.391279999999999</v>
      </c>
      <c r="D7" s="19">
        <v>173.24</v>
      </c>
      <c r="E7" s="84">
        <f>C7*D7</f>
        <v>1280.4653472</v>
      </c>
      <c r="F7" s="19"/>
      <c r="G7" s="84"/>
    </row>
    <row r="8" spans="1:7" ht="21.75" customHeight="1">
      <c r="A8" s="11" t="s">
        <v>380</v>
      </c>
      <c r="B8" s="11" t="s">
        <v>4</v>
      </c>
      <c r="C8" s="83">
        <f>44.2*1.196</f>
        <v>52.8632</v>
      </c>
      <c r="D8" s="19">
        <v>0</v>
      </c>
      <c r="E8" s="84">
        <v>0</v>
      </c>
      <c r="F8" s="19">
        <v>3</v>
      </c>
      <c r="G8" s="84">
        <f>C8*F8</f>
        <v>158.5896</v>
      </c>
    </row>
    <row r="9" spans="1:7" ht="21.75" customHeight="1">
      <c r="A9" s="11" t="s">
        <v>381</v>
      </c>
      <c r="B9" s="11" t="s">
        <v>4</v>
      </c>
      <c r="C9" s="83">
        <f>48.26*1.196</f>
        <v>57.718959999999996</v>
      </c>
      <c r="D9" s="19">
        <v>1</v>
      </c>
      <c r="E9" s="84">
        <f aca="true" t="shared" si="0" ref="E9:E26">C9*D9</f>
        <v>57.718959999999996</v>
      </c>
      <c r="F9" s="19"/>
      <c r="G9" s="84"/>
    </row>
    <row r="10" spans="1:7" ht="21.75" customHeight="1">
      <c r="A10" s="11" t="s">
        <v>382</v>
      </c>
      <c r="B10" s="11" t="s">
        <v>4</v>
      </c>
      <c r="C10" s="83">
        <f>52.36*1.196</f>
        <v>62.62256</v>
      </c>
      <c r="D10" s="19">
        <v>1</v>
      </c>
      <c r="E10" s="85">
        <f t="shared" si="0"/>
        <v>62.62256</v>
      </c>
      <c r="F10" s="19"/>
      <c r="G10" s="84"/>
    </row>
    <row r="11" spans="1:7" ht="21.75" customHeight="1">
      <c r="A11" s="11" t="s">
        <v>383</v>
      </c>
      <c r="B11" s="11" t="s">
        <v>4</v>
      </c>
      <c r="C11" s="83">
        <f>68.7*1.196</f>
        <v>82.1652</v>
      </c>
      <c r="D11" s="19">
        <v>3</v>
      </c>
      <c r="E11" s="84">
        <f t="shared" si="0"/>
        <v>246.4956</v>
      </c>
      <c r="F11" s="19"/>
      <c r="G11" s="84"/>
    </row>
    <row r="12" spans="1:7" ht="21.75" customHeight="1">
      <c r="A12" s="11" t="s">
        <v>384</v>
      </c>
      <c r="B12" s="11" t="s">
        <v>4</v>
      </c>
      <c r="C12" s="83">
        <f>78.27*1.196</f>
        <v>93.61092</v>
      </c>
      <c r="D12" s="19">
        <v>2</v>
      </c>
      <c r="E12" s="84">
        <f t="shared" si="0"/>
        <v>187.22184</v>
      </c>
      <c r="F12" s="19"/>
      <c r="G12" s="84"/>
    </row>
    <row r="13" spans="1:7" ht="21.75" customHeight="1">
      <c r="A13" s="11" t="s">
        <v>385</v>
      </c>
      <c r="B13" s="11" t="s">
        <v>4</v>
      </c>
      <c r="C13" s="83">
        <f>89.14*1.196</f>
        <v>106.61144</v>
      </c>
      <c r="D13" s="19">
        <v>1</v>
      </c>
      <c r="E13" s="84">
        <f t="shared" si="0"/>
        <v>106.61144</v>
      </c>
      <c r="F13" s="19"/>
      <c r="G13" s="84"/>
    </row>
    <row r="14" spans="1:7" ht="21.75" customHeight="1">
      <c r="A14" s="11" t="s">
        <v>386</v>
      </c>
      <c r="B14" s="11" t="s">
        <v>75</v>
      </c>
      <c r="C14" s="83">
        <v>9.31</v>
      </c>
      <c r="D14" s="19">
        <v>8</v>
      </c>
      <c r="E14" s="84">
        <f t="shared" si="0"/>
        <v>74.48</v>
      </c>
      <c r="F14" s="19"/>
      <c r="G14" s="84"/>
    </row>
    <row r="15" spans="1:7" ht="21.75" customHeight="1">
      <c r="A15" s="11" t="s">
        <v>387</v>
      </c>
      <c r="B15" s="11" t="s">
        <v>75</v>
      </c>
      <c r="C15" s="83">
        <f>9.45*1.196</f>
        <v>11.3022</v>
      </c>
      <c r="D15" s="19">
        <v>5</v>
      </c>
      <c r="E15" s="85">
        <f t="shared" si="0"/>
        <v>56.510999999999996</v>
      </c>
      <c r="F15" s="19"/>
      <c r="G15" s="84"/>
    </row>
    <row r="16" spans="1:7" ht="21.75" customHeight="1">
      <c r="A16" s="11" t="s">
        <v>388</v>
      </c>
      <c r="B16" s="11" t="s">
        <v>75</v>
      </c>
      <c r="C16" s="83">
        <f>1.71*1.196</f>
        <v>2.04516</v>
      </c>
      <c r="D16" s="19">
        <v>75</v>
      </c>
      <c r="E16" s="84">
        <f t="shared" si="0"/>
        <v>153.387</v>
      </c>
      <c r="F16" s="19"/>
      <c r="G16" s="84"/>
    </row>
    <row r="17" spans="1:7" ht="21.75" customHeight="1">
      <c r="A17" s="11" t="s">
        <v>389</v>
      </c>
      <c r="B17" s="11" t="s">
        <v>75</v>
      </c>
      <c r="C17" s="83">
        <v>1.55</v>
      </c>
      <c r="D17" s="19">
        <v>150</v>
      </c>
      <c r="E17" s="84">
        <f t="shared" si="0"/>
        <v>232.5</v>
      </c>
      <c r="F17" s="19"/>
      <c r="G17" s="84"/>
    </row>
    <row r="18" spans="1:7" ht="21.75" customHeight="1">
      <c r="A18" s="11" t="s">
        <v>390</v>
      </c>
      <c r="B18" s="11" t="s">
        <v>75</v>
      </c>
      <c r="C18" s="83">
        <v>1.99</v>
      </c>
      <c r="D18" s="19">
        <v>42</v>
      </c>
      <c r="E18" s="84">
        <f t="shared" si="0"/>
        <v>83.58</v>
      </c>
      <c r="F18" s="19"/>
      <c r="G18" s="84"/>
    </row>
    <row r="19" spans="1:7" ht="21.75" customHeight="1">
      <c r="A19" s="11" t="s">
        <v>391</v>
      </c>
      <c r="B19" s="11" t="s">
        <v>392</v>
      </c>
      <c r="C19" s="83">
        <f>42.35*1.196</f>
        <v>50.6506</v>
      </c>
      <c r="D19" s="19">
        <v>1</v>
      </c>
      <c r="E19" s="84">
        <f t="shared" si="0"/>
        <v>50.6506</v>
      </c>
      <c r="F19" s="19"/>
      <c r="G19" s="84"/>
    </row>
    <row r="20" spans="1:7" ht="30" customHeight="1">
      <c r="A20" s="11" t="s">
        <v>393</v>
      </c>
      <c r="B20" s="11" t="s">
        <v>75</v>
      </c>
      <c r="C20" s="83">
        <f>5.48*1.196</f>
        <v>6.55408</v>
      </c>
      <c r="D20" s="19">
        <f>40.56+18.2</f>
        <v>58.760000000000005</v>
      </c>
      <c r="E20" s="84">
        <f t="shared" si="0"/>
        <v>385.11774080000004</v>
      </c>
      <c r="F20" s="19"/>
      <c r="G20" s="84"/>
    </row>
    <row r="21" spans="1:7" ht="21.75" customHeight="1">
      <c r="A21" s="11" t="s">
        <v>394</v>
      </c>
      <c r="B21" s="11" t="s">
        <v>75</v>
      </c>
      <c r="C21" s="83">
        <v>7.54</v>
      </c>
      <c r="D21" s="19">
        <v>250</v>
      </c>
      <c r="E21" s="84">
        <f t="shared" si="0"/>
        <v>1885</v>
      </c>
      <c r="F21" s="19"/>
      <c r="G21" s="84"/>
    </row>
    <row r="22" spans="1:7" ht="21.75" customHeight="1">
      <c r="A22" s="11" t="s">
        <v>395</v>
      </c>
      <c r="B22" s="11" t="s">
        <v>396</v>
      </c>
      <c r="C22" s="83">
        <f>5.73*1.196</f>
        <v>6.85308</v>
      </c>
      <c r="D22" s="19">
        <v>16</v>
      </c>
      <c r="E22" s="84">
        <f t="shared" si="0"/>
        <v>109.64928</v>
      </c>
      <c r="F22" s="19"/>
      <c r="G22" s="84"/>
    </row>
    <row r="23" spans="1:7" ht="21.75" customHeight="1">
      <c r="A23" s="11" t="s">
        <v>397</v>
      </c>
      <c r="B23" s="11" t="s">
        <v>398</v>
      </c>
      <c r="C23" s="83">
        <f>5.23*1.196</f>
        <v>6.25508</v>
      </c>
      <c r="D23" s="19">
        <v>5</v>
      </c>
      <c r="E23" s="84">
        <f t="shared" si="0"/>
        <v>31.2754</v>
      </c>
      <c r="F23" s="19"/>
      <c r="G23" s="84"/>
    </row>
    <row r="24" spans="1:7" ht="25.5" customHeight="1">
      <c r="A24" s="11" t="s">
        <v>399</v>
      </c>
      <c r="B24" s="66" t="s">
        <v>400</v>
      </c>
      <c r="C24" s="83">
        <f>8.87*1.196</f>
        <v>10.608519999999999</v>
      </c>
      <c r="D24" s="19">
        <v>9</v>
      </c>
      <c r="E24" s="84">
        <f t="shared" si="0"/>
        <v>95.47667999999999</v>
      </c>
      <c r="F24" s="19"/>
      <c r="G24" s="84"/>
    </row>
    <row r="25" spans="1:7" ht="25.5" customHeight="1">
      <c r="A25" s="11" t="s">
        <v>401</v>
      </c>
      <c r="B25" s="66" t="s">
        <v>146</v>
      </c>
      <c r="C25" s="83">
        <f>8.26*1.196</f>
        <v>9.87896</v>
      </c>
      <c r="D25" s="19">
        <v>4</v>
      </c>
      <c r="E25" s="84">
        <f t="shared" si="0"/>
        <v>39.51584</v>
      </c>
      <c r="F25" s="19"/>
      <c r="G25" s="84"/>
    </row>
    <row r="26" spans="1:7" ht="25.5" customHeight="1">
      <c r="A26" s="11" t="s">
        <v>402</v>
      </c>
      <c r="B26" s="66" t="s">
        <v>4</v>
      </c>
      <c r="C26" s="83">
        <f>250*1.196</f>
        <v>299</v>
      </c>
      <c r="D26" s="19">
        <v>1</v>
      </c>
      <c r="E26" s="84">
        <f t="shared" si="0"/>
        <v>299</v>
      </c>
      <c r="F26" s="19"/>
      <c r="G26" s="84"/>
    </row>
    <row r="27" spans="1:7" ht="21.75" customHeight="1">
      <c r="A27" s="11" t="s">
        <v>403</v>
      </c>
      <c r="B27" s="11" t="s">
        <v>108</v>
      </c>
      <c r="C27" s="83">
        <f>11.35*1.196</f>
        <v>13.574599999999998</v>
      </c>
      <c r="D27" s="19">
        <v>0</v>
      </c>
      <c r="E27" s="84">
        <v>0</v>
      </c>
      <c r="F27" s="19">
        <v>29.7</v>
      </c>
      <c r="G27" s="84">
        <f>PRODUCT(C27,F27)</f>
        <v>403.16561999999993</v>
      </c>
    </row>
    <row r="28" spans="1:7" ht="21.75" customHeight="1">
      <c r="A28" s="11" t="s">
        <v>404</v>
      </c>
      <c r="B28" s="11" t="s">
        <v>122</v>
      </c>
      <c r="C28" s="83">
        <f>287.41*1.196</f>
        <v>343.74236</v>
      </c>
      <c r="D28" s="19">
        <v>0</v>
      </c>
      <c r="E28" s="84">
        <f>C28*D28</f>
        <v>0</v>
      </c>
      <c r="F28" s="19">
        <v>1.073</v>
      </c>
      <c r="G28" s="84">
        <f>PRODUCT(C28,F28)</f>
        <v>368.83555228</v>
      </c>
    </row>
    <row r="29" spans="1:7" ht="21.75" customHeight="1">
      <c r="A29" s="11" t="s">
        <v>405</v>
      </c>
      <c r="B29" s="11" t="s">
        <v>75</v>
      </c>
      <c r="C29" s="83">
        <f>5.12*1.196</f>
        <v>6.12352</v>
      </c>
      <c r="D29" s="19">
        <v>0</v>
      </c>
      <c r="E29" s="84">
        <f>C29*D29</f>
        <v>0</v>
      </c>
      <c r="F29" s="19">
        <v>38.813</v>
      </c>
      <c r="G29" s="84">
        <f>PRODUCT(C29,F29)</f>
        <v>237.67218176000003</v>
      </c>
    </row>
    <row r="30" spans="1:7" ht="21.75" customHeight="1">
      <c r="A30" s="86" t="s">
        <v>406</v>
      </c>
      <c r="B30" s="11"/>
      <c r="C30" s="83"/>
      <c r="D30" s="19">
        <v>0</v>
      </c>
      <c r="E30" s="84">
        <f>PRODUCT(C30,D30)</f>
        <v>0</v>
      </c>
      <c r="F30" s="19"/>
      <c r="G30" s="84">
        <f>(30+13.95)*1.196</f>
        <v>52.5642</v>
      </c>
    </row>
    <row r="31" spans="1:7" ht="21.75" customHeight="1">
      <c r="A31" s="86" t="s">
        <v>407</v>
      </c>
      <c r="B31" s="11"/>
      <c r="C31" s="83"/>
      <c r="D31" s="19">
        <v>0</v>
      </c>
      <c r="E31" s="84">
        <v>0</v>
      </c>
      <c r="F31" s="19"/>
      <c r="G31" s="84">
        <v>19.31</v>
      </c>
    </row>
    <row r="32" spans="1:7" ht="21.75" customHeight="1">
      <c r="A32" s="11" t="s">
        <v>408</v>
      </c>
      <c r="B32" s="11"/>
      <c r="C32" s="83"/>
      <c r="D32" s="19">
        <v>0</v>
      </c>
      <c r="E32" s="84">
        <f>PRODUCT(C32,D32)</f>
        <v>0</v>
      </c>
      <c r="F32" s="19"/>
      <c r="G32" s="84">
        <f>9.6*1.196</f>
        <v>11.481599999999998</v>
      </c>
    </row>
    <row r="33" spans="1:7" ht="21.75" customHeight="1">
      <c r="A33" s="11" t="s">
        <v>409</v>
      </c>
      <c r="B33" s="11"/>
      <c r="C33" s="83"/>
      <c r="D33" s="19">
        <v>0</v>
      </c>
      <c r="E33" s="84">
        <f>PRODUCT(C33,D33)</f>
        <v>0</v>
      </c>
      <c r="F33" s="19"/>
      <c r="G33" s="84">
        <f>65.9*1.196</f>
        <v>78.8164</v>
      </c>
    </row>
    <row r="34" spans="1:7" ht="21.75" customHeight="1">
      <c r="A34" s="11" t="s">
        <v>410</v>
      </c>
      <c r="B34" s="11" t="s">
        <v>175</v>
      </c>
      <c r="C34" s="83">
        <v>1.07</v>
      </c>
      <c r="D34" s="19">
        <v>0</v>
      </c>
      <c r="E34" s="84">
        <v>0</v>
      </c>
      <c r="F34" s="19">
        <v>15</v>
      </c>
      <c r="G34" s="85">
        <f>C34*F34</f>
        <v>16.05</v>
      </c>
    </row>
    <row r="35" spans="1:7" ht="21.75" customHeight="1">
      <c r="A35" s="11" t="s">
        <v>411</v>
      </c>
      <c r="B35" s="11" t="s">
        <v>122</v>
      </c>
      <c r="C35" s="83">
        <f>391.6*1.196</f>
        <v>468.35360000000003</v>
      </c>
      <c r="D35" s="19">
        <v>0</v>
      </c>
      <c r="E35" s="84">
        <v>0</v>
      </c>
      <c r="F35" s="19">
        <v>0.645</v>
      </c>
      <c r="G35" s="84">
        <f>C35*F35</f>
        <v>302.088072</v>
      </c>
    </row>
    <row r="36" spans="1:7" ht="38.25" customHeight="1">
      <c r="A36" s="11" t="s">
        <v>412</v>
      </c>
      <c r="B36" s="11"/>
      <c r="C36" s="83"/>
      <c r="D36" s="19"/>
      <c r="E36" s="84"/>
      <c r="F36" s="19"/>
      <c r="G36" s="84">
        <f>3.1+21.24+19.5+(8.65*1.196)+26.95</f>
        <v>81.1354</v>
      </c>
    </row>
    <row r="37" spans="1:7" ht="21.75" customHeight="1">
      <c r="A37" s="11" t="s">
        <v>413</v>
      </c>
      <c r="B37" s="11" t="s">
        <v>414</v>
      </c>
      <c r="C37" s="83">
        <v>13.4</v>
      </c>
      <c r="D37" s="19"/>
      <c r="E37" s="84"/>
      <c r="F37" s="19">
        <v>7</v>
      </c>
      <c r="G37" s="84">
        <f aca="true" t="shared" si="1" ref="G37:G42">C37*F37</f>
        <v>93.8</v>
      </c>
    </row>
    <row r="38" spans="1:7" ht="21.75" customHeight="1">
      <c r="A38" s="11" t="s">
        <v>415</v>
      </c>
      <c r="B38" s="11" t="s">
        <v>416</v>
      </c>
      <c r="C38" s="83">
        <f>3.39*1.196</f>
        <v>4.05444</v>
      </c>
      <c r="D38" s="19">
        <v>5</v>
      </c>
      <c r="E38" s="84">
        <f>C38*D38</f>
        <v>20.272199999999998</v>
      </c>
      <c r="F38" s="19"/>
      <c r="G38" s="84">
        <f t="shared" si="1"/>
        <v>0</v>
      </c>
    </row>
    <row r="39" spans="1:7" ht="21.75" customHeight="1">
      <c r="A39" s="11" t="s">
        <v>417</v>
      </c>
      <c r="B39" s="11" t="s">
        <v>4</v>
      </c>
      <c r="C39" s="83">
        <v>28.41</v>
      </c>
      <c r="D39" s="19">
        <v>1</v>
      </c>
      <c r="E39" s="84">
        <f>C39*D39</f>
        <v>28.41</v>
      </c>
      <c r="F39" s="19"/>
      <c r="G39" s="84">
        <f t="shared" si="1"/>
        <v>0</v>
      </c>
    </row>
    <row r="40" spans="1:7" ht="21.75" customHeight="1">
      <c r="A40" s="11" t="s">
        <v>418</v>
      </c>
      <c r="B40" s="11" t="s">
        <v>419</v>
      </c>
      <c r="C40" s="83">
        <f>2.85*1.196</f>
        <v>3.4086</v>
      </c>
      <c r="D40" s="19">
        <v>15</v>
      </c>
      <c r="E40" s="84">
        <f>C40*D40</f>
        <v>51.129</v>
      </c>
      <c r="F40" s="19"/>
      <c r="G40" s="84">
        <f t="shared" si="1"/>
        <v>0</v>
      </c>
    </row>
    <row r="41" spans="1:7" ht="21.75" customHeight="1">
      <c r="A41" s="11" t="s">
        <v>420</v>
      </c>
      <c r="B41" s="11" t="s">
        <v>421</v>
      </c>
      <c r="C41" s="83"/>
      <c r="D41" s="19"/>
      <c r="E41" s="84">
        <v>62.79</v>
      </c>
      <c r="F41" s="19"/>
      <c r="G41" s="84">
        <f t="shared" si="1"/>
        <v>0</v>
      </c>
    </row>
    <row r="42" spans="1:7" ht="21.75" customHeight="1">
      <c r="A42" s="11" t="s">
        <v>422</v>
      </c>
      <c r="B42" s="11" t="s">
        <v>83</v>
      </c>
      <c r="C42" s="83">
        <f>2.92*1.196</f>
        <v>3.49232</v>
      </c>
      <c r="D42" s="19"/>
      <c r="E42" s="84"/>
      <c r="F42" s="19">
        <v>5</v>
      </c>
      <c r="G42" s="84">
        <f t="shared" si="1"/>
        <v>17.4616</v>
      </c>
    </row>
    <row r="43" spans="1:7" ht="21.75" customHeight="1">
      <c r="A43" s="11"/>
      <c r="B43" s="11"/>
      <c r="C43" s="83"/>
      <c r="D43" s="19"/>
      <c r="E43" s="84"/>
      <c r="F43" s="19"/>
      <c r="G43" s="84"/>
    </row>
    <row r="44" spans="1:7" ht="21.75" customHeight="1">
      <c r="A44" s="67" t="s">
        <v>62</v>
      </c>
      <c r="B44" s="67"/>
      <c r="C44" s="87"/>
      <c r="D44" s="88"/>
      <c r="E44" s="89">
        <f>SUM(E3:E43)</f>
        <v>41724.05745120001</v>
      </c>
      <c r="F44" s="88"/>
      <c r="G44" s="89">
        <f>SUM(G3:G43)</f>
        <v>1840.9702260399997</v>
      </c>
    </row>
  </sheetData>
  <sheetProtection selectLockedCells="1" selectUnlockedCells="1"/>
  <mergeCells count="5">
    <mergeCell ref="F1:G1"/>
    <mergeCell ref="A1:A2"/>
    <mergeCell ref="B1:B2"/>
    <mergeCell ref="C1:C2"/>
    <mergeCell ref="D1:E1"/>
  </mergeCell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H8" sqref="H8"/>
    </sheetView>
  </sheetViews>
  <sheetFormatPr defaultColWidth="11.421875" defaultRowHeight="12.75"/>
  <cols>
    <col min="1" max="1" width="31.00390625" style="0" customWidth="1"/>
    <col min="2" max="2" width="10.7109375" style="2" customWidth="1"/>
    <col min="3" max="3" width="10.8515625" style="17" customWidth="1"/>
    <col min="4" max="4" width="10.140625" style="2" customWidth="1"/>
    <col min="5" max="5" width="10.28125" style="17" customWidth="1"/>
    <col min="6" max="16384" width="11.57421875" style="0" customWidth="1"/>
  </cols>
  <sheetData>
    <row r="1" spans="1:5" ht="12.75">
      <c r="A1" s="28" t="s">
        <v>3</v>
      </c>
      <c r="B1" s="36" t="s">
        <v>4</v>
      </c>
      <c r="C1" s="37" t="s">
        <v>201</v>
      </c>
      <c r="D1" s="29" t="s">
        <v>63</v>
      </c>
      <c r="E1" s="30"/>
    </row>
    <row r="2" spans="1:5" ht="13.5" thickBot="1">
      <c r="A2" s="31"/>
      <c r="B2" s="40"/>
      <c r="C2" s="41"/>
      <c r="D2" s="32" t="s">
        <v>6</v>
      </c>
      <c r="E2" s="102" t="s">
        <v>64</v>
      </c>
    </row>
    <row r="3" spans="1:5" ht="39" customHeight="1">
      <c r="A3" s="103" t="s">
        <v>423</v>
      </c>
      <c r="B3" s="104"/>
      <c r="C3" s="105">
        <v>3440.11</v>
      </c>
      <c r="D3" s="90">
        <v>1</v>
      </c>
      <c r="E3" s="106">
        <f>C3*D3</f>
        <v>3440.11</v>
      </c>
    </row>
    <row r="4" spans="1:5" ht="25.5" customHeight="1">
      <c r="A4" s="77" t="s">
        <v>424</v>
      </c>
      <c r="B4" s="12"/>
      <c r="C4" s="16">
        <v>1474.37</v>
      </c>
      <c r="D4" s="13">
        <v>1</v>
      </c>
      <c r="E4" s="75">
        <f>C4*D4</f>
        <v>1474.37</v>
      </c>
    </row>
    <row r="5" spans="1:5" ht="14.25" customHeight="1">
      <c r="A5" s="23" t="s">
        <v>425</v>
      </c>
      <c r="B5" s="12" t="s">
        <v>4</v>
      </c>
      <c r="C5" s="16">
        <v>301.9</v>
      </c>
      <c r="D5" s="13">
        <v>1</v>
      </c>
      <c r="E5" s="75">
        <f>C5*D5</f>
        <v>301.9</v>
      </c>
    </row>
    <row r="6" spans="1:5" ht="13.5" thickBot="1">
      <c r="A6" s="78" t="s">
        <v>62</v>
      </c>
      <c r="B6" s="79"/>
      <c r="C6" s="80"/>
      <c r="D6" s="81"/>
      <c r="E6" s="82">
        <f>SUM(E3:E5)</f>
        <v>5216.379999999999</v>
      </c>
    </row>
  </sheetData>
  <sheetProtection selectLockedCells="1" selectUnlockedCells="1"/>
  <mergeCells count="4">
    <mergeCell ref="A1:A2"/>
    <mergeCell ref="B1:B2"/>
    <mergeCell ref="C1:C2"/>
    <mergeCell ref="D1:E1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0">
      <selection activeCell="F20" sqref="F20"/>
    </sheetView>
  </sheetViews>
  <sheetFormatPr defaultColWidth="11.421875" defaultRowHeight="24" customHeight="1"/>
  <cols>
    <col min="1" max="1" width="33.421875" style="0" customWidth="1"/>
    <col min="2" max="2" width="10.7109375" style="2" customWidth="1"/>
    <col min="3" max="3" width="10.8515625" style="17" customWidth="1"/>
    <col min="4" max="4" width="15.00390625" style="2" customWidth="1"/>
    <col min="5" max="5" width="15.00390625" style="17" customWidth="1"/>
    <col min="6" max="16384" width="11.57421875" style="0" customWidth="1"/>
  </cols>
  <sheetData>
    <row r="1" spans="1:5" ht="12.75">
      <c r="A1" s="28" t="s">
        <v>3</v>
      </c>
      <c r="B1" s="36" t="s">
        <v>4</v>
      </c>
      <c r="C1" s="37" t="s">
        <v>5</v>
      </c>
      <c r="D1" s="38" t="s">
        <v>6</v>
      </c>
      <c r="E1" s="39" t="s">
        <v>7</v>
      </c>
    </row>
    <row r="2" spans="1:5" ht="13.5" thickBot="1">
      <c r="A2" s="31"/>
      <c r="B2" s="40"/>
      <c r="C2" s="41"/>
      <c r="D2" s="42"/>
      <c r="E2" s="43"/>
    </row>
    <row r="3" spans="1:5" ht="24" customHeight="1">
      <c r="A3" s="44" t="s">
        <v>8</v>
      </c>
      <c r="B3" s="45" t="s">
        <v>4</v>
      </c>
      <c r="C3" s="46">
        <f>10.46*1.196</f>
        <v>12.51016</v>
      </c>
      <c r="D3" s="47">
        <v>1</v>
      </c>
      <c r="E3" s="48">
        <f aca="true" t="shared" si="0" ref="E3:E42">C3*D3</f>
        <v>12.51016</v>
      </c>
    </row>
    <row r="4" spans="1:5" ht="24" customHeight="1">
      <c r="A4" s="49" t="s">
        <v>9</v>
      </c>
      <c r="B4" s="9" t="s">
        <v>4</v>
      </c>
      <c r="C4" s="15">
        <f>4.68*1.196</f>
        <v>5.59728</v>
      </c>
      <c r="D4" s="10">
        <v>1</v>
      </c>
      <c r="E4" s="50">
        <f t="shared" si="0"/>
        <v>5.59728</v>
      </c>
    </row>
    <row r="5" spans="1:5" ht="24" customHeight="1">
      <c r="A5" s="49" t="s">
        <v>10</v>
      </c>
      <c r="B5" s="9" t="s">
        <v>4</v>
      </c>
      <c r="C5" s="15">
        <f>1.5*1.196</f>
        <v>1.794</v>
      </c>
      <c r="D5" s="10">
        <v>2</v>
      </c>
      <c r="E5" s="50">
        <f t="shared" si="0"/>
        <v>3.588</v>
      </c>
    </row>
    <row r="6" spans="1:5" ht="24" customHeight="1">
      <c r="A6" s="23" t="s">
        <v>11</v>
      </c>
      <c r="B6" s="12">
        <v>10</v>
      </c>
      <c r="C6" s="16">
        <f>2.09*1.196</f>
        <v>2.49964</v>
      </c>
      <c r="D6" s="13">
        <v>1</v>
      </c>
      <c r="E6" s="51">
        <f t="shared" si="0"/>
        <v>2.49964</v>
      </c>
    </row>
    <row r="7" spans="1:5" ht="24" customHeight="1">
      <c r="A7" s="23" t="s">
        <v>12</v>
      </c>
      <c r="B7" s="12" t="s">
        <v>13</v>
      </c>
      <c r="C7" s="16">
        <f>1.89*1.196</f>
        <v>2.26044</v>
      </c>
      <c r="D7" s="13">
        <v>2</v>
      </c>
      <c r="E7" s="51">
        <f t="shared" si="0"/>
        <v>4.52088</v>
      </c>
    </row>
    <row r="8" spans="1:5" ht="24" customHeight="1">
      <c r="A8" s="23" t="s">
        <v>14</v>
      </c>
      <c r="B8" s="12" t="s">
        <v>4</v>
      </c>
      <c r="C8" s="16">
        <f>6.86*1.196</f>
        <v>8.20456</v>
      </c>
      <c r="D8" s="13">
        <v>1</v>
      </c>
      <c r="E8" s="51">
        <f t="shared" si="0"/>
        <v>8.20456</v>
      </c>
    </row>
    <row r="9" spans="1:5" ht="24" customHeight="1">
      <c r="A9" s="23" t="s">
        <v>15</v>
      </c>
      <c r="B9" s="12" t="s">
        <v>4</v>
      </c>
      <c r="C9" s="16">
        <f>2.93*1.196</f>
        <v>3.50428</v>
      </c>
      <c r="D9" s="13">
        <v>1</v>
      </c>
      <c r="E9" s="51">
        <f t="shared" si="0"/>
        <v>3.50428</v>
      </c>
    </row>
    <row r="10" spans="1:5" ht="24" customHeight="1">
      <c r="A10" s="23" t="s">
        <v>16</v>
      </c>
      <c r="B10" s="12" t="s">
        <v>4</v>
      </c>
      <c r="C10" s="16">
        <f>3.47*1.196</f>
        <v>4.15012</v>
      </c>
      <c r="D10" s="13">
        <v>1</v>
      </c>
      <c r="E10" s="51">
        <f t="shared" si="0"/>
        <v>4.15012</v>
      </c>
    </row>
    <row r="11" spans="1:5" ht="24" customHeight="1">
      <c r="A11" s="23" t="s">
        <v>17</v>
      </c>
      <c r="B11" s="12" t="s">
        <v>4</v>
      </c>
      <c r="C11" s="16">
        <f>131.69*1.196</f>
        <v>157.50124</v>
      </c>
      <c r="D11" s="13">
        <v>1</v>
      </c>
      <c r="E11" s="51">
        <f t="shared" si="0"/>
        <v>157.50124</v>
      </c>
    </row>
    <row r="12" spans="1:5" ht="24" customHeight="1">
      <c r="A12" s="23" t="s">
        <v>18</v>
      </c>
      <c r="B12" s="12" t="s">
        <v>4</v>
      </c>
      <c r="C12" s="16">
        <f>5.38*1.196</f>
        <v>6.43448</v>
      </c>
      <c r="D12" s="13">
        <v>1</v>
      </c>
      <c r="E12" s="51">
        <f t="shared" si="0"/>
        <v>6.43448</v>
      </c>
    </row>
    <row r="13" spans="1:5" ht="24" customHeight="1">
      <c r="A13" s="23" t="s">
        <v>19</v>
      </c>
      <c r="B13" s="12" t="s">
        <v>4</v>
      </c>
      <c r="C13" s="16">
        <f>13.38*1.196</f>
        <v>16.002480000000002</v>
      </c>
      <c r="D13" s="13">
        <v>1</v>
      </c>
      <c r="E13" s="51">
        <f t="shared" si="0"/>
        <v>16.002480000000002</v>
      </c>
    </row>
    <row r="14" spans="1:5" ht="24" customHeight="1">
      <c r="A14" s="23" t="s">
        <v>20</v>
      </c>
      <c r="B14" s="12" t="s">
        <v>4</v>
      </c>
      <c r="C14" s="16">
        <f>14.13*1.196</f>
        <v>16.89948</v>
      </c>
      <c r="D14" s="13">
        <v>1</v>
      </c>
      <c r="E14" s="51">
        <f t="shared" si="0"/>
        <v>16.89948</v>
      </c>
    </row>
    <row r="15" spans="1:5" ht="24" customHeight="1">
      <c r="A15" s="23" t="s">
        <v>21</v>
      </c>
      <c r="B15" s="12" t="s">
        <v>4</v>
      </c>
      <c r="C15" s="16">
        <f>6.48*1.196</f>
        <v>7.7500800000000005</v>
      </c>
      <c r="D15" s="13">
        <v>1</v>
      </c>
      <c r="E15" s="51">
        <f t="shared" si="0"/>
        <v>7.7500800000000005</v>
      </c>
    </row>
    <row r="16" spans="1:5" ht="24" customHeight="1">
      <c r="A16" s="23" t="s">
        <v>22</v>
      </c>
      <c r="B16" s="12" t="s">
        <v>4</v>
      </c>
      <c r="C16" s="16">
        <f>4.18*1.196</f>
        <v>4.99928</v>
      </c>
      <c r="D16" s="13">
        <v>1</v>
      </c>
      <c r="E16" s="51">
        <f t="shared" si="0"/>
        <v>4.99928</v>
      </c>
    </row>
    <row r="17" spans="1:5" ht="24" customHeight="1">
      <c r="A17" s="23" t="s">
        <v>23</v>
      </c>
      <c r="B17" s="12" t="s">
        <v>24</v>
      </c>
      <c r="C17" s="16">
        <f>39.9*1.196</f>
        <v>47.7204</v>
      </c>
      <c r="D17" s="13">
        <v>1</v>
      </c>
      <c r="E17" s="51">
        <f t="shared" si="0"/>
        <v>47.7204</v>
      </c>
    </row>
    <row r="18" spans="1:5" ht="24" customHeight="1">
      <c r="A18" s="23" t="s">
        <v>25</v>
      </c>
      <c r="B18" s="12" t="s">
        <v>4</v>
      </c>
      <c r="C18" s="16">
        <v>21.84</v>
      </c>
      <c r="D18" s="13">
        <v>1</v>
      </c>
      <c r="E18" s="51">
        <f t="shared" si="0"/>
        <v>21.84</v>
      </c>
    </row>
    <row r="19" spans="1:5" ht="24" customHeight="1">
      <c r="A19" s="23" t="s">
        <v>26</v>
      </c>
      <c r="B19" s="12" t="s">
        <v>4</v>
      </c>
      <c r="C19" s="16">
        <v>4.1</v>
      </c>
      <c r="D19" s="13">
        <v>1</v>
      </c>
      <c r="E19" s="51">
        <f t="shared" si="0"/>
        <v>4.1</v>
      </c>
    </row>
    <row r="20" spans="1:5" ht="24" customHeight="1">
      <c r="A20" s="23" t="s">
        <v>27</v>
      </c>
      <c r="B20" s="12" t="s">
        <v>4</v>
      </c>
      <c r="C20" s="16">
        <v>6.95</v>
      </c>
      <c r="D20" s="13">
        <v>1</v>
      </c>
      <c r="E20" s="51">
        <f t="shared" si="0"/>
        <v>6.95</v>
      </c>
    </row>
    <row r="21" spans="1:5" ht="24" customHeight="1">
      <c r="A21" s="23" t="s">
        <v>28</v>
      </c>
      <c r="B21" s="12" t="s">
        <v>4</v>
      </c>
      <c r="C21" s="16">
        <v>2.49</v>
      </c>
      <c r="D21" s="13">
        <v>1</v>
      </c>
      <c r="E21" s="51">
        <f t="shared" si="0"/>
        <v>2.49</v>
      </c>
    </row>
    <row r="22" spans="1:5" ht="24" customHeight="1">
      <c r="A22" s="23" t="s">
        <v>29</v>
      </c>
      <c r="B22" s="12" t="s">
        <v>4</v>
      </c>
      <c r="C22" s="16">
        <f>199.83*1.196</f>
        <v>238.99668</v>
      </c>
      <c r="D22" s="13">
        <v>1</v>
      </c>
      <c r="E22" s="51">
        <f t="shared" si="0"/>
        <v>238.99668</v>
      </c>
    </row>
    <row r="23" spans="1:5" ht="24" customHeight="1">
      <c r="A23" s="23" t="s">
        <v>30</v>
      </c>
      <c r="B23" s="12" t="s">
        <v>4</v>
      </c>
      <c r="C23" s="16">
        <f>12.28*1.196</f>
        <v>14.686879999999999</v>
      </c>
      <c r="D23" s="13">
        <v>1</v>
      </c>
      <c r="E23" s="51">
        <f t="shared" si="0"/>
        <v>14.686879999999999</v>
      </c>
    </row>
    <row r="24" spans="1:5" ht="24" customHeight="1">
      <c r="A24" s="23" t="s">
        <v>31</v>
      </c>
      <c r="B24" s="12" t="s">
        <v>32</v>
      </c>
      <c r="C24" s="16">
        <f>3.77*1.196</f>
        <v>4.50892</v>
      </c>
      <c r="D24" s="13">
        <v>1</v>
      </c>
      <c r="E24" s="51">
        <f t="shared" si="0"/>
        <v>4.50892</v>
      </c>
    </row>
    <row r="25" spans="1:5" ht="24" customHeight="1">
      <c r="A25" s="23" t="s">
        <v>33</v>
      </c>
      <c r="B25" s="12" t="s">
        <v>34</v>
      </c>
      <c r="C25" s="16">
        <f>1.27*1.196</f>
        <v>1.51892</v>
      </c>
      <c r="D25" s="13">
        <v>1</v>
      </c>
      <c r="E25" s="51">
        <f t="shared" si="0"/>
        <v>1.51892</v>
      </c>
    </row>
    <row r="26" spans="1:5" ht="24" customHeight="1">
      <c r="A26" s="23" t="s">
        <v>35</v>
      </c>
      <c r="B26" s="12" t="s">
        <v>4</v>
      </c>
      <c r="C26" s="16">
        <f>3.13*1.196</f>
        <v>3.74348</v>
      </c>
      <c r="D26" s="13">
        <v>1</v>
      </c>
      <c r="E26" s="51">
        <f t="shared" si="0"/>
        <v>3.74348</v>
      </c>
    </row>
    <row r="27" spans="1:5" ht="24" customHeight="1">
      <c r="A27" s="23" t="s">
        <v>36</v>
      </c>
      <c r="B27" s="12" t="s">
        <v>4</v>
      </c>
      <c r="C27" s="16">
        <v>18.5</v>
      </c>
      <c r="D27" s="13">
        <v>1</v>
      </c>
      <c r="E27" s="51">
        <f t="shared" si="0"/>
        <v>18.5</v>
      </c>
    </row>
    <row r="28" spans="1:5" ht="24" customHeight="1">
      <c r="A28" s="23" t="s">
        <v>37</v>
      </c>
      <c r="B28" s="12" t="s">
        <v>4</v>
      </c>
      <c r="C28" s="16">
        <v>6.6</v>
      </c>
      <c r="D28" s="13">
        <v>1</v>
      </c>
      <c r="E28" s="51">
        <f t="shared" si="0"/>
        <v>6.6</v>
      </c>
    </row>
    <row r="29" spans="1:5" ht="24" customHeight="1">
      <c r="A29" s="23" t="s">
        <v>38</v>
      </c>
      <c r="B29" s="12" t="s">
        <v>4</v>
      </c>
      <c r="C29" s="16">
        <v>43.6</v>
      </c>
      <c r="D29" s="13">
        <v>2</v>
      </c>
      <c r="E29" s="51">
        <f t="shared" si="0"/>
        <v>87.2</v>
      </c>
    </row>
    <row r="30" spans="1:5" ht="24" customHeight="1">
      <c r="A30" s="23" t="s">
        <v>39</v>
      </c>
      <c r="B30" s="12" t="s">
        <v>40</v>
      </c>
      <c r="C30" s="16">
        <v>11.06</v>
      </c>
      <c r="D30" s="13">
        <v>3</v>
      </c>
      <c r="E30" s="51">
        <f t="shared" si="0"/>
        <v>33.18</v>
      </c>
    </row>
    <row r="31" spans="1:5" ht="24" customHeight="1">
      <c r="A31" s="23" t="s">
        <v>41</v>
      </c>
      <c r="B31" s="12" t="s">
        <v>42</v>
      </c>
      <c r="C31" s="16">
        <f>4.25*1.196</f>
        <v>5.083</v>
      </c>
      <c r="D31" s="13">
        <v>2</v>
      </c>
      <c r="E31" s="51">
        <f t="shared" si="0"/>
        <v>10.166</v>
      </c>
    </row>
    <row r="32" spans="1:5" ht="24" customHeight="1">
      <c r="A32" s="23" t="s">
        <v>43</v>
      </c>
      <c r="B32" s="12" t="s">
        <v>4</v>
      </c>
      <c r="C32" s="16">
        <f>17.5*1.196</f>
        <v>20.93</v>
      </c>
      <c r="D32" s="13">
        <v>1</v>
      </c>
      <c r="E32" s="52">
        <f t="shared" si="0"/>
        <v>20.93</v>
      </c>
    </row>
    <row r="33" spans="1:5" ht="24" customHeight="1">
      <c r="A33" s="23" t="s">
        <v>44</v>
      </c>
      <c r="B33" s="12" t="s">
        <v>4</v>
      </c>
      <c r="C33" s="16">
        <f>1.79*1.196</f>
        <v>2.14084</v>
      </c>
      <c r="D33" s="13">
        <v>2</v>
      </c>
      <c r="E33" s="52">
        <f t="shared" si="0"/>
        <v>4.28168</v>
      </c>
    </row>
    <row r="34" spans="1:5" ht="24" customHeight="1">
      <c r="A34" s="23" t="s">
        <v>45</v>
      </c>
      <c r="B34" s="12" t="s">
        <v>4</v>
      </c>
      <c r="C34" s="16">
        <v>3.1</v>
      </c>
      <c r="D34" s="13">
        <v>1</v>
      </c>
      <c r="E34" s="52">
        <f t="shared" si="0"/>
        <v>3.1</v>
      </c>
    </row>
    <row r="35" spans="1:5" ht="24" customHeight="1">
      <c r="A35" s="23" t="s">
        <v>46</v>
      </c>
      <c r="B35" s="12" t="s">
        <v>4</v>
      </c>
      <c r="C35" s="16">
        <v>3.2</v>
      </c>
      <c r="D35" s="13">
        <v>1</v>
      </c>
      <c r="E35" s="52">
        <f t="shared" si="0"/>
        <v>3.2</v>
      </c>
    </row>
    <row r="36" spans="1:5" ht="24" customHeight="1">
      <c r="A36" s="23" t="s">
        <v>47</v>
      </c>
      <c r="B36" s="12" t="s">
        <v>4</v>
      </c>
      <c r="C36" s="16">
        <v>3.25</v>
      </c>
      <c r="D36" s="13">
        <v>1</v>
      </c>
      <c r="E36" s="52">
        <f t="shared" si="0"/>
        <v>3.25</v>
      </c>
    </row>
    <row r="37" spans="1:5" ht="24" customHeight="1">
      <c r="A37" s="23" t="s">
        <v>48</v>
      </c>
      <c r="B37" s="12" t="s">
        <v>4</v>
      </c>
      <c r="C37" s="16">
        <v>3.4</v>
      </c>
      <c r="D37" s="13">
        <v>1</v>
      </c>
      <c r="E37" s="52">
        <f t="shared" si="0"/>
        <v>3.4</v>
      </c>
    </row>
    <row r="38" spans="1:5" ht="24" customHeight="1">
      <c r="A38" s="23" t="s">
        <v>49</v>
      </c>
      <c r="B38" s="12" t="s">
        <v>4</v>
      </c>
      <c r="C38" s="16">
        <v>4.9</v>
      </c>
      <c r="D38" s="13">
        <v>1</v>
      </c>
      <c r="E38" s="52">
        <f t="shared" si="0"/>
        <v>4.9</v>
      </c>
    </row>
    <row r="39" spans="1:5" ht="24" customHeight="1">
      <c r="A39" s="23" t="s">
        <v>50</v>
      </c>
      <c r="B39" s="12" t="s">
        <v>4</v>
      </c>
      <c r="C39" s="16">
        <f>12.68*1.196</f>
        <v>15.16528</v>
      </c>
      <c r="D39" s="13">
        <v>1</v>
      </c>
      <c r="E39" s="52">
        <f t="shared" si="0"/>
        <v>15.16528</v>
      </c>
    </row>
    <row r="40" spans="1:5" ht="24" customHeight="1">
      <c r="A40" s="23" t="s">
        <v>51</v>
      </c>
      <c r="B40" s="12" t="s">
        <v>4</v>
      </c>
      <c r="C40" s="16">
        <f>22.82*1.196</f>
        <v>27.29272</v>
      </c>
      <c r="D40" s="13">
        <v>1</v>
      </c>
      <c r="E40" s="52">
        <f t="shared" si="0"/>
        <v>27.29272</v>
      </c>
    </row>
    <row r="41" spans="1:5" ht="35.25" customHeight="1">
      <c r="A41" s="23" t="s">
        <v>52</v>
      </c>
      <c r="B41" s="12" t="s">
        <v>4</v>
      </c>
      <c r="C41" s="16">
        <v>35.1</v>
      </c>
      <c r="D41" s="13">
        <v>3</v>
      </c>
      <c r="E41" s="51">
        <f t="shared" si="0"/>
        <v>105.30000000000001</v>
      </c>
    </row>
    <row r="42" spans="1:5" ht="24" customHeight="1">
      <c r="A42" s="23" t="s">
        <v>53</v>
      </c>
      <c r="B42" s="12" t="s">
        <v>4</v>
      </c>
      <c r="C42" s="16">
        <v>18.9</v>
      </c>
      <c r="D42" s="13">
        <v>2</v>
      </c>
      <c r="E42" s="51">
        <f t="shared" si="0"/>
        <v>37.8</v>
      </c>
    </row>
    <row r="43" spans="1:5" ht="24" customHeight="1">
      <c r="A43" s="23" t="s">
        <v>54</v>
      </c>
      <c r="B43" s="12" t="s">
        <v>4</v>
      </c>
      <c r="C43" s="16">
        <f>45.32*1.196</f>
        <v>54.20272</v>
      </c>
      <c r="D43" s="13">
        <v>1</v>
      </c>
      <c r="E43" s="51"/>
    </row>
    <row r="44" spans="1:5" ht="24" customHeight="1">
      <c r="A44" s="23" t="s">
        <v>55</v>
      </c>
      <c r="B44" s="12" t="s">
        <v>4</v>
      </c>
      <c r="C44" s="16">
        <f>17.31*1.196</f>
        <v>20.702759999999998</v>
      </c>
      <c r="D44" s="13">
        <v>1</v>
      </c>
      <c r="E44" s="51">
        <f>C44*D44</f>
        <v>20.702759999999998</v>
      </c>
    </row>
    <row r="45" spans="1:5" ht="24" customHeight="1">
      <c r="A45" s="23" t="s">
        <v>56</v>
      </c>
      <c r="B45" s="12" t="s">
        <v>4</v>
      </c>
      <c r="C45" s="16">
        <v>21.9</v>
      </c>
      <c r="D45" s="13">
        <v>1</v>
      </c>
      <c r="E45" s="51">
        <f>C45*D45</f>
        <v>21.9</v>
      </c>
    </row>
    <row r="46" spans="1:5" ht="24" customHeight="1">
      <c r="A46" s="23" t="s">
        <v>57</v>
      </c>
      <c r="B46" s="12" t="s">
        <v>58</v>
      </c>
      <c r="C46" s="16">
        <v>5.9</v>
      </c>
      <c r="D46" s="13">
        <v>1</v>
      </c>
      <c r="E46" s="51">
        <f>C46*D46</f>
        <v>5.9</v>
      </c>
    </row>
    <row r="47" spans="1:5" ht="24" customHeight="1">
      <c r="A47" s="23" t="s">
        <v>59</v>
      </c>
      <c r="B47" s="12"/>
      <c r="C47" s="16"/>
      <c r="D47" s="13"/>
      <c r="E47" s="51">
        <v>546.09</v>
      </c>
    </row>
    <row r="48" spans="1:5" ht="24" customHeight="1">
      <c r="A48" s="23" t="s">
        <v>60</v>
      </c>
      <c r="B48" s="12" t="s">
        <v>4</v>
      </c>
      <c r="C48" s="16">
        <f>7.75*1.196</f>
        <v>9.269</v>
      </c>
      <c r="D48" s="13">
        <v>1</v>
      </c>
      <c r="E48" s="53">
        <f>C48*D48</f>
        <v>9.269</v>
      </c>
    </row>
    <row r="49" spans="1:5" ht="24" customHeight="1">
      <c r="A49" s="23" t="s">
        <v>61</v>
      </c>
      <c r="B49" s="12" t="s">
        <v>4</v>
      </c>
      <c r="C49" s="16">
        <f>(3.02/2)*1.196</f>
        <v>1.80596</v>
      </c>
      <c r="D49" s="13">
        <v>2</v>
      </c>
      <c r="E49" s="53">
        <f>C49*D49</f>
        <v>3.61192</v>
      </c>
    </row>
    <row r="50" spans="1:5" ht="24" customHeight="1">
      <c r="A50" s="23"/>
      <c r="B50" s="12"/>
      <c r="C50" s="16"/>
      <c r="D50" s="13"/>
      <c r="E50" s="51"/>
    </row>
    <row r="51" spans="1:5" ht="24" customHeight="1">
      <c r="A51" s="23"/>
      <c r="B51" s="12"/>
      <c r="C51" s="16"/>
      <c r="D51" s="13"/>
      <c r="E51" s="51">
        <f>C51*D51</f>
        <v>0</v>
      </c>
    </row>
    <row r="52" spans="1:5" ht="24" customHeight="1" thickBot="1">
      <c r="A52" s="25" t="s">
        <v>62</v>
      </c>
      <c r="B52" s="54"/>
      <c r="C52" s="55"/>
      <c r="D52" s="56"/>
      <c r="E52" s="57">
        <f>SUM(E6:E51)</f>
        <v>1570.76116</v>
      </c>
    </row>
  </sheetData>
  <sheetProtection selectLockedCells="1" selectUnlockedCells="1"/>
  <mergeCells count="5">
    <mergeCell ref="E1:E2"/>
    <mergeCell ref="A1:A2"/>
    <mergeCell ref="B1:B2"/>
    <mergeCell ref="C1:C2"/>
    <mergeCell ref="D1:D2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F20" sqref="F20"/>
    </sheetView>
  </sheetViews>
  <sheetFormatPr defaultColWidth="11.421875" defaultRowHeight="12.75"/>
  <cols>
    <col min="1" max="1" width="50.28125" style="0" customWidth="1"/>
    <col min="2" max="2" width="8.57421875" style="0" customWidth="1"/>
    <col min="3" max="3" width="9.28125" style="2" customWidth="1"/>
    <col min="4" max="16384" width="11.57421875" style="0" customWidth="1"/>
  </cols>
  <sheetData>
    <row r="1" spans="1:3" ht="12.75">
      <c r="A1" s="28" t="s">
        <v>3</v>
      </c>
      <c r="B1" s="29" t="s">
        <v>63</v>
      </c>
      <c r="C1" s="30"/>
    </row>
    <row r="2" spans="1:3" ht="13.5" thickBot="1">
      <c r="A2" s="31"/>
      <c r="B2" s="32" t="s">
        <v>6</v>
      </c>
      <c r="C2" s="27" t="s">
        <v>64</v>
      </c>
    </row>
    <row r="3" spans="1:3" ht="21.75" customHeight="1">
      <c r="A3" s="20" t="s">
        <v>65</v>
      </c>
      <c r="B3" s="21"/>
      <c r="C3" s="22"/>
    </row>
    <row r="4" spans="1:3" ht="21.75" customHeight="1">
      <c r="A4" s="23" t="s">
        <v>66</v>
      </c>
      <c r="B4" s="19"/>
      <c r="C4" s="24"/>
    </row>
    <row r="5" spans="1:3" ht="21.75" customHeight="1">
      <c r="A5" s="23" t="s">
        <v>67</v>
      </c>
      <c r="B5" s="19"/>
      <c r="C5" s="24">
        <v>911.41</v>
      </c>
    </row>
    <row r="6" spans="1:3" ht="21.75" customHeight="1">
      <c r="A6" s="23" t="s">
        <v>68</v>
      </c>
      <c r="B6" s="19"/>
      <c r="C6" s="24">
        <v>110</v>
      </c>
    </row>
    <row r="7" spans="1:3" ht="21.75" customHeight="1">
      <c r="A7" s="23" t="s">
        <v>69</v>
      </c>
      <c r="B7" s="19"/>
      <c r="C7" s="24">
        <v>1235</v>
      </c>
    </row>
    <row r="8" spans="1:3" ht="21.75" customHeight="1">
      <c r="A8" s="23" t="s">
        <v>70</v>
      </c>
      <c r="B8" s="19"/>
      <c r="C8" s="24">
        <v>1614</v>
      </c>
    </row>
    <row r="9" spans="1:3" ht="21.75" customHeight="1">
      <c r="A9" s="23" t="s">
        <v>71</v>
      </c>
      <c r="B9" s="19"/>
      <c r="C9" s="24">
        <v>75</v>
      </c>
    </row>
    <row r="10" spans="1:3" ht="21.75" customHeight="1" thickBot="1">
      <c r="A10" s="25" t="s">
        <v>62</v>
      </c>
      <c r="B10" s="26"/>
      <c r="C10" s="27">
        <f>SUM(C3:C9)</f>
        <v>3945.41</v>
      </c>
    </row>
  </sheetData>
  <sheetProtection selectLockedCells="1" selectUnlockedCells="1"/>
  <mergeCells count="2">
    <mergeCell ref="A1:A2"/>
    <mergeCell ref="B1:C1"/>
  </mergeCell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A3" sqref="A3:G41"/>
    </sheetView>
  </sheetViews>
  <sheetFormatPr defaultColWidth="11.421875" defaultRowHeight="21.75" customHeight="1"/>
  <cols>
    <col min="1" max="1" width="55.28125" style="0" customWidth="1"/>
    <col min="2" max="2" width="6.57421875" style="2" customWidth="1"/>
    <col min="3" max="3" width="9.00390625" style="17" customWidth="1"/>
    <col min="4" max="4" width="6.140625" style="2" customWidth="1"/>
    <col min="5" max="5" width="8.421875" style="17" customWidth="1"/>
    <col min="6" max="6" width="11.8515625" style="2" customWidth="1"/>
    <col min="7" max="7" width="10.140625" style="17" customWidth="1"/>
    <col min="8" max="16384" width="11.57421875" style="0" customWidth="1"/>
  </cols>
  <sheetData>
    <row r="1" spans="1:7" ht="12.75">
      <c r="A1" s="28" t="s">
        <v>3</v>
      </c>
      <c r="B1" s="36" t="s">
        <v>4</v>
      </c>
      <c r="C1" s="37" t="s">
        <v>5</v>
      </c>
      <c r="D1" s="29" t="s">
        <v>63</v>
      </c>
      <c r="E1" s="29"/>
      <c r="F1" s="38" t="s">
        <v>72</v>
      </c>
      <c r="G1" s="100"/>
    </row>
    <row r="2" spans="1:7" ht="13.5" thickBot="1">
      <c r="A2" s="31"/>
      <c r="B2" s="40"/>
      <c r="C2" s="41"/>
      <c r="D2" s="32" t="s">
        <v>73</v>
      </c>
      <c r="E2" s="101" t="s">
        <v>7</v>
      </c>
      <c r="F2" s="32" t="s">
        <v>73</v>
      </c>
      <c r="G2" s="102" t="s">
        <v>7</v>
      </c>
    </row>
    <row r="3" spans="1:7" ht="21.75" customHeight="1">
      <c r="A3" s="20" t="s">
        <v>74</v>
      </c>
      <c r="B3" s="121" t="s">
        <v>75</v>
      </c>
      <c r="C3" s="122">
        <f>1.32*1.196</f>
        <v>1.57872</v>
      </c>
      <c r="D3" s="118">
        <v>155</v>
      </c>
      <c r="E3" s="119">
        <f aca="true" t="shared" si="0" ref="E3:E24">PRODUCT(C3,D3)</f>
        <v>244.70159999999998</v>
      </c>
      <c r="F3" s="118"/>
      <c r="G3" s="120"/>
    </row>
    <row r="4" spans="1:7" ht="21.75" customHeight="1">
      <c r="A4" s="23" t="s">
        <v>76</v>
      </c>
      <c r="B4" s="12" t="s">
        <v>77</v>
      </c>
      <c r="C4" s="16">
        <f>4*1.196</f>
        <v>4.784</v>
      </c>
      <c r="D4" s="13">
        <v>56</v>
      </c>
      <c r="E4" s="65">
        <f t="shared" si="0"/>
        <v>267.904</v>
      </c>
      <c r="F4" s="13"/>
      <c r="G4" s="75"/>
    </row>
    <row r="5" spans="1:7" ht="21.75" customHeight="1">
      <c r="A5" s="23" t="s">
        <v>78</v>
      </c>
      <c r="B5" s="12" t="s">
        <v>79</v>
      </c>
      <c r="C5" s="16">
        <f>83.82*1.196</f>
        <v>100.24871999999999</v>
      </c>
      <c r="D5" s="13">
        <v>1</v>
      </c>
      <c r="E5" s="65">
        <f t="shared" si="0"/>
        <v>100.24871999999999</v>
      </c>
      <c r="F5" s="13"/>
      <c r="G5" s="75"/>
    </row>
    <row r="6" spans="1:7" ht="21.75" customHeight="1">
      <c r="A6" s="23" t="s">
        <v>80</v>
      </c>
      <c r="B6" s="12" t="s">
        <v>79</v>
      </c>
      <c r="C6" s="16">
        <f>53.17*1.196</f>
        <v>63.591319999999996</v>
      </c>
      <c r="D6" s="13">
        <v>1</v>
      </c>
      <c r="E6" s="65">
        <f t="shared" si="0"/>
        <v>63.591319999999996</v>
      </c>
      <c r="F6" s="13"/>
      <c r="G6" s="75"/>
    </row>
    <row r="7" spans="1:7" ht="21.75" customHeight="1">
      <c r="A7" s="23" t="s">
        <v>81</v>
      </c>
      <c r="B7" s="12" t="s">
        <v>79</v>
      </c>
      <c r="C7" s="16">
        <f>42.06*1.196</f>
        <v>50.303760000000004</v>
      </c>
      <c r="D7" s="13">
        <v>1</v>
      </c>
      <c r="E7" s="65">
        <f t="shared" si="0"/>
        <v>50.303760000000004</v>
      </c>
      <c r="F7" s="13"/>
      <c r="G7" s="75"/>
    </row>
    <row r="8" spans="1:7" ht="28.5" customHeight="1">
      <c r="A8" s="76" t="s">
        <v>82</v>
      </c>
      <c r="B8" s="12" t="s">
        <v>83</v>
      </c>
      <c r="C8" s="16">
        <f>2.22*1.196</f>
        <v>2.65512</v>
      </c>
      <c r="D8" s="148">
        <v>88</v>
      </c>
      <c r="E8" s="65">
        <f t="shared" si="0"/>
        <v>233.65056</v>
      </c>
      <c r="F8" s="148"/>
      <c r="G8" s="160"/>
    </row>
    <row r="9" spans="1:7" ht="28.5" customHeight="1">
      <c r="A9" s="76" t="s">
        <v>84</v>
      </c>
      <c r="B9" s="12" t="s">
        <v>83</v>
      </c>
      <c r="C9" s="16">
        <v>1.77</v>
      </c>
      <c r="D9" s="148">
        <v>8</v>
      </c>
      <c r="E9" s="65">
        <f t="shared" si="0"/>
        <v>14.16</v>
      </c>
      <c r="F9" s="148"/>
      <c r="G9" s="160"/>
    </row>
    <row r="10" spans="1:7" ht="28.5" customHeight="1">
      <c r="A10" s="76" t="s">
        <v>85</v>
      </c>
      <c r="B10" s="12" t="s">
        <v>4</v>
      </c>
      <c r="C10" s="16">
        <f>13.92*1.196</f>
        <v>16.64832</v>
      </c>
      <c r="D10" s="148">
        <v>1</v>
      </c>
      <c r="E10" s="65">
        <f t="shared" si="0"/>
        <v>16.64832</v>
      </c>
      <c r="F10" s="148"/>
      <c r="G10" s="160"/>
    </row>
    <row r="11" spans="1:7" ht="28.5" customHeight="1">
      <c r="A11" s="76" t="s">
        <v>86</v>
      </c>
      <c r="B11" s="12" t="s">
        <v>4</v>
      </c>
      <c r="C11" s="16">
        <f>6.45*1.196</f>
        <v>7.7142</v>
      </c>
      <c r="D11" s="148">
        <v>1</v>
      </c>
      <c r="E11" s="65">
        <f t="shared" si="0"/>
        <v>7.7142</v>
      </c>
      <c r="F11" s="148"/>
      <c r="G11" s="160"/>
    </row>
    <row r="12" spans="1:7" ht="28.5" customHeight="1">
      <c r="A12" s="76" t="s">
        <v>87</v>
      </c>
      <c r="B12" s="12" t="s">
        <v>4</v>
      </c>
      <c r="C12" s="16">
        <f>4.58*1.196</f>
        <v>5.477679999999999</v>
      </c>
      <c r="D12" s="148">
        <v>1</v>
      </c>
      <c r="E12" s="65">
        <f t="shared" si="0"/>
        <v>5.477679999999999</v>
      </c>
      <c r="F12" s="148"/>
      <c r="G12" s="160"/>
    </row>
    <row r="13" spans="1:7" ht="28.5" customHeight="1">
      <c r="A13" s="76" t="s">
        <v>88</v>
      </c>
      <c r="B13" s="12" t="s">
        <v>4</v>
      </c>
      <c r="C13" s="16">
        <f>2.77*1.196</f>
        <v>3.31292</v>
      </c>
      <c r="D13" s="148">
        <v>1</v>
      </c>
      <c r="E13" s="65">
        <f t="shared" si="0"/>
        <v>3.31292</v>
      </c>
      <c r="F13" s="148"/>
      <c r="G13" s="160"/>
    </row>
    <row r="14" spans="1:7" ht="28.5" customHeight="1">
      <c r="A14" s="76" t="s">
        <v>89</v>
      </c>
      <c r="B14" s="12" t="s">
        <v>4</v>
      </c>
      <c r="C14" s="16">
        <f>7.94*1.196</f>
        <v>9.49624</v>
      </c>
      <c r="D14" s="148">
        <v>2</v>
      </c>
      <c r="E14" s="65">
        <f t="shared" si="0"/>
        <v>18.99248</v>
      </c>
      <c r="F14" s="148"/>
      <c r="G14" s="160"/>
    </row>
    <row r="15" spans="1:7" ht="28.5" customHeight="1">
      <c r="A15" s="76" t="s">
        <v>90</v>
      </c>
      <c r="B15" s="12" t="s">
        <v>4</v>
      </c>
      <c r="C15" s="16">
        <f>7.03*1.196</f>
        <v>8.40788</v>
      </c>
      <c r="D15" s="148">
        <v>1</v>
      </c>
      <c r="E15" s="65">
        <f t="shared" si="0"/>
        <v>8.40788</v>
      </c>
      <c r="F15" s="148"/>
      <c r="G15" s="160"/>
    </row>
    <row r="16" spans="1:7" ht="28.5" customHeight="1">
      <c r="A16" s="76" t="s">
        <v>91</v>
      </c>
      <c r="B16" s="12" t="s">
        <v>4</v>
      </c>
      <c r="C16" s="16">
        <f>13.28*1.196</f>
        <v>15.882879999999998</v>
      </c>
      <c r="D16" s="148">
        <v>2</v>
      </c>
      <c r="E16" s="65">
        <f t="shared" si="0"/>
        <v>31.765759999999997</v>
      </c>
      <c r="F16" s="148"/>
      <c r="G16" s="160"/>
    </row>
    <row r="17" spans="1:7" ht="28.5" customHeight="1">
      <c r="A17" s="76" t="s">
        <v>92</v>
      </c>
      <c r="B17" s="12" t="s">
        <v>4</v>
      </c>
      <c r="C17" s="16">
        <f>4.86*1.196</f>
        <v>5.81256</v>
      </c>
      <c r="D17" s="148">
        <v>2</v>
      </c>
      <c r="E17" s="65">
        <f t="shared" si="0"/>
        <v>11.62512</v>
      </c>
      <c r="F17" s="148"/>
      <c r="G17" s="160"/>
    </row>
    <row r="18" spans="1:7" ht="28.5" customHeight="1">
      <c r="A18" s="76" t="s">
        <v>93</v>
      </c>
      <c r="B18" s="12" t="s">
        <v>4</v>
      </c>
      <c r="C18" s="16">
        <f>3.07*1.196</f>
        <v>3.6717199999999997</v>
      </c>
      <c r="D18" s="148">
        <v>2</v>
      </c>
      <c r="E18" s="65">
        <f t="shared" si="0"/>
        <v>7.343439999999999</v>
      </c>
      <c r="F18" s="148"/>
      <c r="G18" s="160"/>
    </row>
    <row r="19" spans="1:7" ht="28.5" customHeight="1">
      <c r="A19" s="76" t="s">
        <v>94</v>
      </c>
      <c r="B19" s="12" t="s">
        <v>4</v>
      </c>
      <c r="C19" s="16">
        <f>3.35*1.196</f>
        <v>4.0066</v>
      </c>
      <c r="D19" s="148">
        <v>2</v>
      </c>
      <c r="E19" s="65">
        <f t="shared" si="0"/>
        <v>8.0132</v>
      </c>
      <c r="F19" s="148"/>
      <c r="G19" s="160"/>
    </row>
    <row r="20" spans="1:7" ht="28.5" customHeight="1">
      <c r="A20" s="76" t="s">
        <v>95</v>
      </c>
      <c r="B20" s="12" t="s">
        <v>4</v>
      </c>
      <c r="C20" s="16">
        <v>5.48</v>
      </c>
      <c r="D20" s="148">
        <v>1</v>
      </c>
      <c r="E20" s="65">
        <f t="shared" si="0"/>
        <v>5.48</v>
      </c>
      <c r="F20" s="148"/>
      <c r="G20" s="160"/>
    </row>
    <row r="21" spans="1:7" ht="21.75" customHeight="1">
      <c r="A21" s="23" t="s">
        <v>96</v>
      </c>
      <c r="B21" s="12" t="s">
        <v>4</v>
      </c>
      <c r="C21" s="16">
        <f>3.91*1.196</f>
        <v>4.67636</v>
      </c>
      <c r="D21" s="13">
        <v>1</v>
      </c>
      <c r="E21" s="65">
        <f t="shared" si="0"/>
        <v>4.67636</v>
      </c>
      <c r="F21" s="13"/>
      <c r="G21" s="75"/>
    </row>
    <row r="22" spans="1:7" ht="21.75" customHeight="1">
      <c r="A22" s="23" t="s">
        <v>97</v>
      </c>
      <c r="B22" s="12" t="s">
        <v>4</v>
      </c>
      <c r="C22" s="16">
        <f>1.99*1.196</f>
        <v>2.3800399999999997</v>
      </c>
      <c r="D22" s="13">
        <v>1</v>
      </c>
      <c r="E22" s="65">
        <f t="shared" si="0"/>
        <v>2.3800399999999997</v>
      </c>
      <c r="F22" s="13"/>
      <c r="G22" s="75"/>
    </row>
    <row r="23" spans="1:7" ht="21.75" customHeight="1">
      <c r="A23" s="23" t="s">
        <v>98</v>
      </c>
      <c r="B23" s="12" t="s">
        <v>99</v>
      </c>
      <c r="C23" s="16">
        <f>55*1.196</f>
        <v>65.78</v>
      </c>
      <c r="D23" s="13">
        <v>2</v>
      </c>
      <c r="E23" s="65">
        <f t="shared" si="0"/>
        <v>131.56</v>
      </c>
      <c r="F23" s="13"/>
      <c r="G23" s="75"/>
    </row>
    <row r="24" spans="1:7" ht="21.75" customHeight="1">
      <c r="A24" s="23" t="s">
        <v>100</v>
      </c>
      <c r="B24" s="12" t="s">
        <v>101</v>
      </c>
      <c r="C24" s="16">
        <f>13.59*1.196</f>
        <v>16.25364</v>
      </c>
      <c r="D24" s="13">
        <v>16.8</v>
      </c>
      <c r="E24" s="65">
        <f t="shared" si="0"/>
        <v>273.06115200000005</v>
      </c>
      <c r="F24" s="13"/>
      <c r="G24" s="75"/>
    </row>
    <row r="25" spans="1:7" ht="21.75" customHeight="1">
      <c r="A25" s="23" t="s">
        <v>102</v>
      </c>
      <c r="B25" s="12" t="s">
        <v>4</v>
      </c>
      <c r="C25" s="16">
        <f>9.45*1.196</f>
        <v>11.3022</v>
      </c>
      <c r="D25" s="13">
        <v>0</v>
      </c>
      <c r="E25" s="65">
        <f>C25*D25</f>
        <v>0</v>
      </c>
      <c r="F25" s="13"/>
      <c r="G25" s="75"/>
    </row>
    <row r="26" spans="1:7" ht="21.75" customHeight="1">
      <c r="A26" s="23" t="s">
        <v>103</v>
      </c>
      <c r="B26" s="12" t="s">
        <v>4</v>
      </c>
      <c r="C26" s="16">
        <f>9.11*1.196</f>
        <v>10.89556</v>
      </c>
      <c r="D26" s="13">
        <v>0</v>
      </c>
      <c r="E26" s="65">
        <f>C26*D26</f>
        <v>0</v>
      </c>
      <c r="F26" s="13"/>
      <c r="G26" s="75"/>
    </row>
    <row r="27" spans="1:7" ht="21.75" customHeight="1">
      <c r="A27" s="23" t="s">
        <v>104</v>
      </c>
      <c r="B27" s="12" t="s">
        <v>4</v>
      </c>
      <c r="C27" s="16">
        <f>5.86*1.196</f>
        <v>7.00856</v>
      </c>
      <c r="D27" s="13">
        <v>0</v>
      </c>
      <c r="E27" s="65">
        <f>C27*D27</f>
        <v>0</v>
      </c>
      <c r="F27" s="13">
        <v>1</v>
      </c>
      <c r="G27" s="75">
        <f>C27*F27</f>
        <v>7.00856</v>
      </c>
    </row>
    <row r="28" spans="1:7" ht="21.75" customHeight="1">
      <c r="A28" s="23" t="s">
        <v>105</v>
      </c>
      <c r="B28" s="12" t="s">
        <v>4</v>
      </c>
      <c r="C28" s="16">
        <f>14.2*1.196</f>
        <v>16.9832</v>
      </c>
      <c r="D28" s="13"/>
      <c r="E28" s="65"/>
      <c r="F28" s="13">
        <v>1</v>
      </c>
      <c r="G28" s="75">
        <f>C28*F28</f>
        <v>16.9832</v>
      </c>
    </row>
    <row r="29" spans="1:7" ht="21.75" customHeight="1">
      <c r="A29" s="23" t="s">
        <v>106</v>
      </c>
      <c r="B29" s="12" t="s">
        <v>99</v>
      </c>
      <c r="C29" s="16">
        <f>55*1.196</f>
        <v>65.78</v>
      </c>
      <c r="D29" s="13">
        <v>2.75</v>
      </c>
      <c r="E29" s="65">
        <f>C29*D29</f>
        <v>180.895</v>
      </c>
      <c r="F29" s="13"/>
      <c r="G29" s="75"/>
    </row>
    <row r="30" spans="1:7" ht="24" customHeight="1">
      <c r="A30" s="23" t="s">
        <v>107</v>
      </c>
      <c r="B30" s="12" t="s">
        <v>108</v>
      </c>
      <c r="C30" s="16">
        <f>1913.6+304.98</f>
        <v>2218.58</v>
      </c>
      <c r="D30" s="13">
        <v>1</v>
      </c>
      <c r="E30" s="65">
        <f>PRODUCT(C30,D30)</f>
        <v>2218.58</v>
      </c>
      <c r="F30" s="13"/>
      <c r="G30" s="75"/>
    </row>
    <row r="31" spans="1:7" ht="24" customHeight="1">
      <c r="A31" s="23" t="s">
        <v>109</v>
      </c>
      <c r="B31" s="12" t="s">
        <v>101</v>
      </c>
      <c r="C31" s="16">
        <f>30.1*1.196</f>
        <v>35.9996</v>
      </c>
      <c r="D31" s="13">
        <v>1.55</v>
      </c>
      <c r="E31" s="65">
        <f>C31*D31</f>
        <v>55.799380000000006</v>
      </c>
      <c r="F31" s="13"/>
      <c r="G31" s="75"/>
    </row>
    <row r="32" spans="1:7" ht="24" customHeight="1">
      <c r="A32" s="23" t="s">
        <v>110</v>
      </c>
      <c r="B32" s="12"/>
      <c r="C32" s="16"/>
      <c r="D32" s="13"/>
      <c r="E32" s="65">
        <v>39.92</v>
      </c>
      <c r="F32" s="13"/>
      <c r="G32" s="75"/>
    </row>
    <row r="33" spans="1:7" ht="21.75" customHeight="1">
      <c r="A33" s="23" t="s">
        <v>111</v>
      </c>
      <c r="B33" s="12" t="s">
        <v>108</v>
      </c>
      <c r="C33" s="16">
        <v>337.87</v>
      </c>
      <c r="D33" s="13">
        <v>1</v>
      </c>
      <c r="E33" s="65">
        <f>C33*D33</f>
        <v>337.87</v>
      </c>
      <c r="F33" s="13"/>
      <c r="G33" s="75"/>
    </row>
    <row r="34" spans="1:7" ht="25.5" customHeight="1">
      <c r="A34" s="23" t="s">
        <v>112</v>
      </c>
      <c r="B34" s="12" t="s">
        <v>113</v>
      </c>
      <c r="C34" s="16">
        <f>17*1.196</f>
        <v>20.332</v>
      </c>
      <c r="D34" s="13">
        <f>7.7+8.05</f>
        <v>15.75</v>
      </c>
      <c r="E34" s="65">
        <f>C34*D34</f>
        <v>320.229</v>
      </c>
      <c r="F34" s="13"/>
      <c r="G34" s="75"/>
    </row>
    <row r="35" spans="1:7" ht="21.75" customHeight="1">
      <c r="A35" s="23" t="s">
        <v>114</v>
      </c>
      <c r="B35" s="12"/>
      <c r="C35" s="16"/>
      <c r="D35" s="13"/>
      <c r="E35" s="65">
        <v>2019.86</v>
      </c>
      <c r="F35" s="13"/>
      <c r="G35" s="75"/>
    </row>
    <row r="36" spans="1:7" ht="21.75" customHeight="1">
      <c r="A36" s="23" t="s">
        <v>115</v>
      </c>
      <c r="B36" s="12" t="s">
        <v>4</v>
      </c>
      <c r="C36" s="16">
        <v>191.36</v>
      </c>
      <c r="D36" s="13">
        <v>1</v>
      </c>
      <c r="E36" s="65">
        <f>C36*D36</f>
        <v>191.36</v>
      </c>
      <c r="F36" s="13"/>
      <c r="G36" s="75"/>
    </row>
    <row r="37" spans="1:7" ht="21.75" customHeight="1">
      <c r="A37" s="23" t="s">
        <v>116</v>
      </c>
      <c r="B37" s="12" t="s">
        <v>4</v>
      </c>
      <c r="C37" s="16">
        <f>90*1.196</f>
        <v>107.64</v>
      </c>
      <c r="D37" s="13">
        <v>3</v>
      </c>
      <c r="E37" s="65">
        <f>C37*D37</f>
        <v>322.92</v>
      </c>
      <c r="F37" s="13"/>
      <c r="G37" s="75"/>
    </row>
    <row r="38" spans="1:7" ht="21.75" customHeight="1">
      <c r="A38" s="23" t="s">
        <v>117</v>
      </c>
      <c r="B38" s="12" t="s">
        <v>4</v>
      </c>
      <c r="C38" s="16">
        <v>101.95</v>
      </c>
      <c r="D38" s="13">
        <v>1</v>
      </c>
      <c r="E38" s="65">
        <f>C38*D38</f>
        <v>101.95</v>
      </c>
      <c r="F38" s="13"/>
      <c r="G38" s="75"/>
    </row>
    <row r="39" spans="1:7" ht="21.75" customHeight="1">
      <c r="A39" s="23" t="s">
        <v>118</v>
      </c>
      <c r="B39" s="12" t="s">
        <v>101</v>
      </c>
      <c r="C39" s="16">
        <v>10.77</v>
      </c>
      <c r="D39" s="13">
        <v>1.15</v>
      </c>
      <c r="E39" s="65">
        <f>C39*D39</f>
        <v>12.385499999999999</v>
      </c>
      <c r="F39" s="13"/>
      <c r="G39" s="75"/>
    </row>
    <row r="40" spans="1:7" ht="21.75" customHeight="1">
      <c r="A40" s="23" t="s">
        <v>119</v>
      </c>
      <c r="B40" s="12" t="s">
        <v>99</v>
      </c>
      <c r="C40" s="16">
        <f>55*1.196</f>
        <v>65.78</v>
      </c>
      <c r="D40" s="13">
        <v>7.5</v>
      </c>
      <c r="E40" s="65">
        <f>C40*D40</f>
        <v>493.35</v>
      </c>
      <c r="F40" s="13"/>
      <c r="G40" s="75"/>
    </row>
    <row r="41" spans="1:256" s="3" customFormat="1" ht="21.75" customHeight="1" thickBot="1">
      <c r="A41" s="78" t="s">
        <v>62</v>
      </c>
      <c r="B41" s="79"/>
      <c r="C41" s="80"/>
      <c r="D41" s="81"/>
      <c r="E41" s="128">
        <f>SUM(E3:E40)</f>
        <v>7806.137392000001</v>
      </c>
      <c r="F41" s="81"/>
      <c r="G41" s="82"/>
      <c r="IO41"/>
      <c r="IP41"/>
      <c r="IQ41"/>
      <c r="IR41"/>
      <c r="IS41"/>
      <c r="IT41"/>
      <c r="IU41"/>
      <c r="IV41"/>
    </row>
  </sheetData>
  <sheetProtection selectLockedCells="1" selectUnlockedCells="1"/>
  <mergeCells count="5">
    <mergeCell ref="F1:G1"/>
    <mergeCell ref="A1:A2"/>
    <mergeCell ref="B1:B2"/>
    <mergeCell ref="C1:C2"/>
    <mergeCell ref="D1:E1"/>
  </mergeCell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">
      <selection activeCell="I70" sqref="I70"/>
    </sheetView>
  </sheetViews>
  <sheetFormatPr defaultColWidth="11.421875" defaultRowHeight="12.75"/>
  <cols>
    <col min="1" max="1" width="42.28125" style="0" customWidth="1"/>
    <col min="2" max="2" width="14.00390625" style="2" customWidth="1"/>
    <col min="3" max="3" width="11.00390625" style="17" customWidth="1"/>
    <col min="4" max="4" width="8.00390625" style="2" customWidth="1"/>
    <col min="5" max="5" width="8.421875" style="17" customWidth="1"/>
    <col min="6" max="6" width="9.00390625" style="2" customWidth="1"/>
    <col min="7" max="7" width="8.00390625" style="17" customWidth="1"/>
    <col min="8" max="8" width="16.00390625" style="0" customWidth="1"/>
    <col min="9" max="16384" width="11.57421875" style="0" customWidth="1"/>
  </cols>
  <sheetData>
    <row r="1" spans="1:7" ht="12.75">
      <c r="A1" s="28" t="s">
        <v>3</v>
      </c>
      <c r="B1" s="36" t="s">
        <v>4</v>
      </c>
      <c r="C1" s="37" t="s">
        <v>5</v>
      </c>
      <c r="D1" s="29" t="s">
        <v>63</v>
      </c>
      <c r="E1" s="29"/>
      <c r="F1" s="38" t="s">
        <v>72</v>
      </c>
      <c r="G1" s="100"/>
    </row>
    <row r="2" spans="1:7" ht="13.5" thickBot="1">
      <c r="A2" s="31"/>
      <c r="B2" s="40"/>
      <c r="C2" s="41"/>
      <c r="D2" s="32" t="s">
        <v>73</v>
      </c>
      <c r="E2" s="101" t="s">
        <v>7</v>
      </c>
      <c r="F2" s="32" t="s">
        <v>73</v>
      </c>
      <c r="G2" s="102" t="s">
        <v>7</v>
      </c>
    </row>
    <row r="3" spans="1:7" ht="24.75" customHeight="1">
      <c r="A3" s="156" t="s">
        <v>120</v>
      </c>
      <c r="B3" s="157"/>
      <c r="C3" s="157"/>
      <c r="D3" s="157"/>
      <c r="E3" s="157"/>
      <c r="F3" s="157"/>
      <c r="G3" s="158"/>
    </row>
    <row r="4" spans="1:7" ht="52.5" customHeight="1">
      <c r="A4" s="23" t="s">
        <v>121</v>
      </c>
      <c r="B4" s="12" t="s">
        <v>122</v>
      </c>
      <c r="C4" s="16">
        <f>90*1.196</f>
        <v>107.64</v>
      </c>
      <c r="D4" s="13">
        <v>9</v>
      </c>
      <c r="E4" s="65">
        <f>PRODUCT(C4,D4)</f>
        <v>968.76</v>
      </c>
      <c r="F4" s="13"/>
      <c r="G4" s="75"/>
    </row>
    <row r="5" spans="1:7" ht="52.5" customHeight="1">
      <c r="A5" s="76" t="s">
        <v>123</v>
      </c>
      <c r="B5" s="12" t="s">
        <v>4</v>
      </c>
      <c r="C5" s="16">
        <f>(115+6.76)*1.196</f>
        <v>145.62496</v>
      </c>
      <c r="D5" s="13">
        <v>1</v>
      </c>
      <c r="E5" s="65">
        <f>PRODUCT(C5,D5)</f>
        <v>145.62496</v>
      </c>
      <c r="F5" s="13"/>
      <c r="G5" s="75"/>
    </row>
    <row r="6" spans="1:7" ht="36.75" customHeight="1">
      <c r="A6" s="23" t="s">
        <v>124</v>
      </c>
      <c r="B6" s="12" t="s">
        <v>122</v>
      </c>
      <c r="C6" s="16">
        <f>106*1.196</f>
        <v>126.776</v>
      </c>
      <c r="D6" s="13">
        <v>0</v>
      </c>
      <c r="E6" s="65">
        <f>C6*D6</f>
        <v>0</v>
      </c>
      <c r="F6" s="13"/>
      <c r="G6" s="75"/>
    </row>
    <row r="7" spans="1:7" ht="36" customHeight="1">
      <c r="A7" s="23" t="s">
        <v>125</v>
      </c>
      <c r="B7" s="12" t="s">
        <v>4</v>
      </c>
      <c r="C7" s="16">
        <f>1.35*1.196</f>
        <v>1.6146</v>
      </c>
      <c r="D7" s="13">
        <v>524</v>
      </c>
      <c r="E7" s="65">
        <f>PRODUCT(C7,D7)</f>
        <v>846.0504</v>
      </c>
      <c r="F7" s="13"/>
      <c r="G7" s="75"/>
    </row>
    <row r="8" spans="1:7" ht="28.5" customHeight="1">
      <c r="A8" s="23" t="s">
        <v>126</v>
      </c>
      <c r="B8" s="12" t="s">
        <v>127</v>
      </c>
      <c r="C8" s="16">
        <f>21.22*1.196</f>
        <v>25.379119999999997</v>
      </c>
      <c r="D8" s="13">
        <v>6</v>
      </c>
      <c r="E8" s="65">
        <f>C8*D8</f>
        <v>152.27471999999997</v>
      </c>
      <c r="F8" s="13"/>
      <c r="G8" s="75"/>
    </row>
    <row r="9" spans="1:7" ht="28.5" customHeight="1">
      <c r="A9" s="23" t="s">
        <v>128</v>
      </c>
      <c r="B9" s="12" t="s">
        <v>4</v>
      </c>
      <c r="C9" s="16">
        <f>0.93*1.196</f>
        <v>1.11228</v>
      </c>
      <c r="D9" s="13">
        <v>0</v>
      </c>
      <c r="E9" s="65">
        <f>C9*D9</f>
        <v>0</v>
      </c>
      <c r="F9" s="13"/>
      <c r="G9" s="75"/>
    </row>
    <row r="10" spans="1:7" ht="28.5" customHeight="1">
      <c r="A10" s="23" t="s">
        <v>129</v>
      </c>
      <c r="B10" s="12" t="s">
        <v>4</v>
      </c>
      <c r="C10" s="16">
        <f>0.65*1.196</f>
        <v>0.7774</v>
      </c>
      <c r="D10" s="13">
        <v>20</v>
      </c>
      <c r="E10" s="65">
        <f>C10*D10</f>
        <v>15.548</v>
      </c>
      <c r="F10" s="13"/>
      <c r="G10" s="75"/>
    </row>
    <row r="11" spans="1:7" ht="28.5" customHeight="1">
      <c r="A11" s="23" t="s">
        <v>130</v>
      </c>
      <c r="B11" s="12" t="s">
        <v>4</v>
      </c>
      <c r="C11" s="16">
        <f>0.67*1.196</f>
        <v>0.80132</v>
      </c>
      <c r="D11" s="13">
        <v>84</v>
      </c>
      <c r="E11" s="65">
        <f>C11*D11</f>
        <v>67.31088</v>
      </c>
      <c r="F11" s="13"/>
      <c r="G11" s="75"/>
    </row>
    <row r="12" spans="1:7" ht="39" customHeight="1">
      <c r="A12" s="23" t="s">
        <v>131</v>
      </c>
      <c r="B12" s="12" t="s">
        <v>4</v>
      </c>
      <c r="C12" s="16">
        <f>2.88*1.196</f>
        <v>3.4444799999999995</v>
      </c>
      <c r="D12" s="13">
        <v>0</v>
      </c>
      <c r="E12" s="65">
        <v>0</v>
      </c>
      <c r="F12" s="13">
        <v>43</v>
      </c>
      <c r="G12" s="159">
        <f>C12*F12</f>
        <v>148.11263999999997</v>
      </c>
    </row>
    <row r="13" spans="1:7" ht="28.5" customHeight="1">
      <c r="A13" s="23" t="s">
        <v>132</v>
      </c>
      <c r="B13" s="12" t="s">
        <v>4</v>
      </c>
      <c r="C13" s="16">
        <f>10.81*1.196</f>
        <v>12.92876</v>
      </c>
      <c r="D13" s="13">
        <v>0</v>
      </c>
      <c r="E13" s="65">
        <f>C13*D13</f>
        <v>0</v>
      </c>
      <c r="F13" s="13"/>
      <c r="G13" s="75"/>
    </row>
    <row r="14" spans="1:7" ht="28.5" customHeight="1">
      <c r="A14" s="23" t="s">
        <v>133</v>
      </c>
      <c r="B14" s="12" t="s">
        <v>4</v>
      </c>
      <c r="C14" s="16">
        <f>9.11*1.196</f>
        <v>10.89556</v>
      </c>
      <c r="D14" s="13">
        <v>2</v>
      </c>
      <c r="E14" s="65">
        <f>C14*D14</f>
        <v>21.79112</v>
      </c>
      <c r="F14" s="13"/>
      <c r="G14" s="75"/>
    </row>
    <row r="15" spans="1:7" ht="28.5" customHeight="1">
      <c r="A15" s="23" t="s">
        <v>134</v>
      </c>
      <c r="B15" s="12" t="s">
        <v>83</v>
      </c>
      <c r="C15" s="16">
        <f>3.47*1.196</f>
        <v>4.15012</v>
      </c>
      <c r="D15" s="13">
        <v>42</v>
      </c>
      <c r="E15" s="65">
        <f>C15*D15</f>
        <v>174.30504000000002</v>
      </c>
      <c r="F15" s="13"/>
      <c r="G15" s="75"/>
    </row>
    <row r="16" spans="1:7" ht="34.5" customHeight="1">
      <c r="A16" s="23" t="s">
        <v>135</v>
      </c>
      <c r="B16" s="12" t="s">
        <v>83</v>
      </c>
      <c r="C16" s="16">
        <f>1.66*1.196</f>
        <v>1.98536</v>
      </c>
      <c r="D16" s="13">
        <v>30</v>
      </c>
      <c r="E16" s="65">
        <f>C16*D16</f>
        <v>59.5608</v>
      </c>
      <c r="F16" s="13"/>
      <c r="G16" s="75"/>
    </row>
    <row r="17" spans="1:7" ht="34.5" customHeight="1">
      <c r="A17" s="23" t="s">
        <v>136</v>
      </c>
      <c r="B17" s="12" t="s">
        <v>83</v>
      </c>
      <c r="C17" s="16">
        <f>1.93*1.196</f>
        <v>2.30828</v>
      </c>
      <c r="D17" s="13">
        <v>0</v>
      </c>
      <c r="E17" s="65">
        <v>0</v>
      </c>
      <c r="F17" s="13">
        <v>24</v>
      </c>
      <c r="G17" s="75">
        <f>C17*F17</f>
        <v>55.39872</v>
      </c>
    </row>
    <row r="18" spans="1:7" ht="21.75" customHeight="1">
      <c r="A18" s="23" t="s">
        <v>137</v>
      </c>
      <c r="B18" s="12" t="s">
        <v>83</v>
      </c>
      <c r="C18" s="16">
        <f>3.05*1.196</f>
        <v>3.6477999999999997</v>
      </c>
      <c r="D18" s="13">
        <v>48</v>
      </c>
      <c r="E18" s="65">
        <f>C18*D18</f>
        <v>175.09439999999998</v>
      </c>
      <c r="F18" s="13"/>
      <c r="G18" s="75"/>
    </row>
    <row r="19" spans="1:7" ht="21.75" customHeight="1">
      <c r="A19" s="23" t="s">
        <v>138</v>
      </c>
      <c r="B19" s="12" t="s">
        <v>83</v>
      </c>
      <c r="C19" s="16">
        <v>0.27</v>
      </c>
      <c r="D19" s="13">
        <v>0</v>
      </c>
      <c r="E19" s="65">
        <v>0</v>
      </c>
      <c r="F19" s="13">
        <v>24</v>
      </c>
      <c r="G19" s="75">
        <f>C19*F19</f>
        <v>6.48</v>
      </c>
    </row>
    <row r="20" spans="1:7" ht="26.25" customHeight="1">
      <c r="A20" s="23" t="s">
        <v>139</v>
      </c>
      <c r="B20" s="12" t="s">
        <v>83</v>
      </c>
      <c r="C20" s="16">
        <f>0.41*1.196</f>
        <v>0.49036</v>
      </c>
      <c r="D20" s="13">
        <v>120</v>
      </c>
      <c r="E20" s="65">
        <f aca="true" t="shared" si="0" ref="E20:E33">C20*D20</f>
        <v>58.8432</v>
      </c>
      <c r="F20" s="13"/>
      <c r="G20" s="75"/>
    </row>
    <row r="21" spans="1:7" ht="26.25" customHeight="1">
      <c r="A21" s="23" t="s">
        <v>140</v>
      </c>
      <c r="B21" s="12" t="s">
        <v>141</v>
      </c>
      <c r="C21" s="16">
        <v>3.69</v>
      </c>
      <c r="D21" s="13">
        <v>25</v>
      </c>
      <c r="E21" s="124">
        <f t="shared" si="0"/>
        <v>92.25</v>
      </c>
      <c r="F21" s="13"/>
      <c r="G21" s="75"/>
    </row>
    <row r="22" spans="1:7" ht="21.75" customHeight="1">
      <c r="A22" s="23" t="s">
        <v>142</v>
      </c>
      <c r="B22" s="12" t="s">
        <v>4</v>
      </c>
      <c r="C22" s="16">
        <f>27.85*1.196</f>
        <v>33.3086</v>
      </c>
      <c r="D22" s="13">
        <v>1</v>
      </c>
      <c r="E22" s="65">
        <f t="shared" si="0"/>
        <v>33.3086</v>
      </c>
      <c r="F22" s="13"/>
      <c r="G22" s="75"/>
    </row>
    <row r="23" spans="1:7" ht="21.75" customHeight="1">
      <c r="A23" s="23" t="s">
        <v>143</v>
      </c>
      <c r="B23" s="12" t="s">
        <v>83</v>
      </c>
      <c r="C23" s="16">
        <f>2.21*1.196</f>
        <v>2.64316</v>
      </c>
      <c r="D23" s="13">
        <v>44</v>
      </c>
      <c r="E23" s="65">
        <f t="shared" si="0"/>
        <v>116.29903999999999</v>
      </c>
      <c r="F23" s="13"/>
      <c r="G23" s="75"/>
    </row>
    <row r="24" spans="1:7" ht="21.75" customHeight="1">
      <c r="A24" s="23" t="s">
        <v>144</v>
      </c>
      <c r="B24" s="12" t="s">
        <v>83</v>
      </c>
      <c r="C24" s="16">
        <f>1.51*1.196</f>
        <v>1.80596</v>
      </c>
      <c r="D24" s="13">
        <v>42</v>
      </c>
      <c r="E24" s="65">
        <f t="shared" si="0"/>
        <v>75.85032</v>
      </c>
      <c r="F24" s="13"/>
      <c r="G24" s="75"/>
    </row>
    <row r="25" spans="1:7" ht="21.75" customHeight="1">
      <c r="A25" s="23" t="s">
        <v>145</v>
      </c>
      <c r="B25" s="12" t="s">
        <v>146</v>
      </c>
      <c r="C25" s="16">
        <f>10.54*1.196</f>
        <v>12.605839999999999</v>
      </c>
      <c r="D25" s="13">
        <v>1</v>
      </c>
      <c r="E25" s="65">
        <f t="shared" si="0"/>
        <v>12.605839999999999</v>
      </c>
      <c r="F25" s="13"/>
      <c r="G25" s="75"/>
    </row>
    <row r="26" spans="1:7" ht="21.75" customHeight="1">
      <c r="A26" s="23" t="s">
        <v>147</v>
      </c>
      <c r="B26" s="12" t="s">
        <v>83</v>
      </c>
      <c r="C26" s="16">
        <f>2.52*1.196</f>
        <v>3.0139199999999997</v>
      </c>
      <c r="D26" s="13">
        <v>18</v>
      </c>
      <c r="E26" s="65">
        <f t="shared" si="0"/>
        <v>54.25055999999999</v>
      </c>
      <c r="F26" s="13"/>
      <c r="G26" s="75"/>
    </row>
    <row r="27" spans="1:7" ht="21.75" customHeight="1">
      <c r="A27" s="23" t="s">
        <v>148</v>
      </c>
      <c r="B27" s="12" t="s">
        <v>149</v>
      </c>
      <c r="C27" s="16">
        <f>7.73*1.196</f>
        <v>9.24508</v>
      </c>
      <c r="D27" s="13">
        <v>2</v>
      </c>
      <c r="E27" s="65">
        <f t="shared" si="0"/>
        <v>18.49016</v>
      </c>
      <c r="F27" s="13"/>
      <c r="G27" s="75"/>
    </row>
    <row r="28" spans="1:7" ht="21.75" customHeight="1">
      <c r="A28" s="23" t="s">
        <v>150</v>
      </c>
      <c r="B28" s="12" t="s">
        <v>151</v>
      </c>
      <c r="C28" s="16">
        <f>3.94*1.196</f>
        <v>4.7122399999999995</v>
      </c>
      <c r="D28" s="13">
        <v>22.35</v>
      </c>
      <c r="E28" s="65">
        <f t="shared" si="0"/>
        <v>105.318564</v>
      </c>
      <c r="F28" s="13"/>
      <c r="G28" s="75"/>
    </row>
    <row r="29" spans="1:7" ht="21.75" customHeight="1">
      <c r="A29" s="23" t="s">
        <v>152</v>
      </c>
      <c r="B29" s="12"/>
      <c r="C29" s="16">
        <f>61.62*1.196</f>
        <v>73.69752</v>
      </c>
      <c r="D29" s="13">
        <v>1</v>
      </c>
      <c r="E29" s="65">
        <f t="shared" si="0"/>
        <v>73.69752</v>
      </c>
      <c r="F29" s="13"/>
      <c r="G29" s="75"/>
    </row>
    <row r="30" spans="1:7" ht="21.75" customHeight="1">
      <c r="A30" s="23" t="s">
        <v>153</v>
      </c>
      <c r="B30" s="12"/>
      <c r="C30" s="16">
        <f>45*1.196</f>
        <v>53.82</v>
      </c>
      <c r="D30" s="13">
        <v>1</v>
      </c>
      <c r="E30" s="65">
        <f t="shared" si="0"/>
        <v>53.82</v>
      </c>
      <c r="F30" s="13"/>
      <c r="G30" s="75"/>
    </row>
    <row r="31" spans="1:7" ht="21.75" customHeight="1">
      <c r="A31" s="23" t="s">
        <v>154</v>
      </c>
      <c r="B31" s="12" t="s">
        <v>155</v>
      </c>
      <c r="C31" s="16">
        <f>8.58*1.196</f>
        <v>10.26168</v>
      </c>
      <c r="D31" s="13">
        <v>0</v>
      </c>
      <c r="E31" s="65">
        <f t="shared" si="0"/>
        <v>0</v>
      </c>
      <c r="F31" s="13">
        <v>1</v>
      </c>
      <c r="G31" s="75">
        <f>C31*F31</f>
        <v>10.26168</v>
      </c>
    </row>
    <row r="32" spans="1:7" ht="25.5" customHeight="1">
      <c r="A32" s="23" t="s">
        <v>156</v>
      </c>
      <c r="B32" s="12" t="s">
        <v>157</v>
      </c>
      <c r="C32" s="16">
        <f>6.32*1.196</f>
        <v>7.55872</v>
      </c>
      <c r="D32" s="13">
        <v>21</v>
      </c>
      <c r="E32" s="65">
        <f t="shared" si="0"/>
        <v>158.73312</v>
      </c>
      <c r="F32" s="13"/>
      <c r="G32" s="75"/>
    </row>
    <row r="33" spans="1:7" ht="85.5" customHeight="1">
      <c r="A33" s="23" t="s">
        <v>158</v>
      </c>
      <c r="B33" s="12" t="s">
        <v>157</v>
      </c>
      <c r="C33" s="16">
        <f>6.42*1.196</f>
        <v>7.678319999999999</v>
      </c>
      <c r="D33" s="13">
        <v>78</v>
      </c>
      <c r="E33" s="65">
        <f t="shared" si="0"/>
        <v>598.90896</v>
      </c>
      <c r="F33" s="13"/>
      <c r="G33" s="75"/>
    </row>
    <row r="34" spans="1:7" ht="71.25" customHeight="1">
      <c r="A34" s="23" t="s">
        <v>159</v>
      </c>
      <c r="B34" s="12" t="s">
        <v>157</v>
      </c>
      <c r="C34" s="16">
        <f>6.96*1.196</f>
        <v>8.32416</v>
      </c>
      <c r="D34" s="13">
        <v>0</v>
      </c>
      <c r="E34" s="65">
        <v>0</v>
      </c>
      <c r="F34" s="13">
        <v>7</v>
      </c>
      <c r="G34" s="159">
        <f>C34*F34</f>
        <v>58.269119999999994</v>
      </c>
    </row>
    <row r="35" spans="1:7" ht="48" customHeight="1">
      <c r="A35" s="23" t="s">
        <v>160</v>
      </c>
      <c r="B35" s="12" t="s">
        <v>161</v>
      </c>
      <c r="C35" s="16">
        <f>2.14*1.196</f>
        <v>2.55944</v>
      </c>
      <c r="D35" s="13">
        <v>50</v>
      </c>
      <c r="E35" s="65">
        <f aca="true" t="shared" si="1" ref="E35:E43">C35*D35</f>
        <v>127.972</v>
      </c>
      <c r="F35" s="13"/>
      <c r="G35" s="75"/>
    </row>
    <row r="36" spans="1:7" ht="49.5" customHeight="1">
      <c r="A36" s="23" t="s">
        <v>162</v>
      </c>
      <c r="B36" s="12" t="s">
        <v>101</v>
      </c>
      <c r="C36" s="16">
        <f>20.65*1.196</f>
        <v>24.6974</v>
      </c>
      <c r="D36" s="13">
        <f>0.55</f>
        <v>0.55</v>
      </c>
      <c r="E36" s="65">
        <f t="shared" si="1"/>
        <v>13.58357</v>
      </c>
      <c r="F36" s="13">
        <v>2.25</v>
      </c>
      <c r="G36" s="75">
        <f>C36*F36</f>
        <v>55.56914999999999</v>
      </c>
    </row>
    <row r="37" spans="1:7" ht="49.5" customHeight="1">
      <c r="A37" s="23" t="s">
        <v>163</v>
      </c>
      <c r="B37" s="12" t="s">
        <v>101</v>
      </c>
      <c r="C37" s="16">
        <v>31.51</v>
      </c>
      <c r="D37" s="13">
        <v>7.05</v>
      </c>
      <c r="E37" s="65">
        <f t="shared" si="1"/>
        <v>222.1455</v>
      </c>
      <c r="F37" s="13"/>
      <c r="G37" s="75"/>
    </row>
    <row r="38" spans="1:7" ht="63" customHeight="1">
      <c r="A38" s="23" t="s">
        <v>164</v>
      </c>
      <c r="B38" s="12" t="s">
        <v>101</v>
      </c>
      <c r="C38" s="16">
        <f>12.16*1.196</f>
        <v>14.54336</v>
      </c>
      <c r="D38" s="13">
        <f>1.15+0.6</f>
        <v>1.75</v>
      </c>
      <c r="E38" s="65">
        <f t="shared" si="1"/>
        <v>25.450879999999998</v>
      </c>
      <c r="F38" s="13">
        <v>1.7</v>
      </c>
      <c r="G38" s="75">
        <f>C38*F38</f>
        <v>24.723712</v>
      </c>
    </row>
    <row r="39" spans="1:7" ht="34.5" customHeight="1">
      <c r="A39" s="23" t="s">
        <v>165</v>
      </c>
      <c r="B39" s="12" t="s">
        <v>166</v>
      </c>
      <c r="C39" s="16">
        <f>8.44*1.196</f>
        <v>10.09424</v>
      </c>
      <c r="D39" s="13">
        <v>0</v>
      </c>
      <c r="E39" s="65">
        <f t="shared" si="1"/>
        <v>0</v>
      </c>
      <c r="F39" s="13">
        <v>6</v>
      </c>
      <c r="G39" s="75">
        <f>C39*F39</f>
        <v>60.565439999999995</v>
      </c>
    </row>
    <row r="40" spans="1:7" ht="34.5" customHeight="1">
      <c r="A40" s="23" t="s">
        <v>167</v>
      </c>
      <c r="B40" s="12" t="s">
        <v>151</v>
      </c>
      <c r="C40" s="16">
        <f>8.94*1.196</f>
        <v>10.692239999999998</v>
      </c>
      <c r="D40" s="13">
        <v>24</v>
      </c>
      <c r="E40" s="65">
        <f t="shared" si="1"/>
        <v>256.61375999999996</v>
      </c>
      <c r="F40" s="13"/>
      <c r="G40" s="75"/>
    </row>
    <row r="41" spans="1:7" ht="36.75" customHeight="1">
      <c r="A41" s="23" t="s">
        <v>168</v>
      </c>
      <c r="B41" s="12" t="s">
        <v>83</v>
      </c>
      <c r="C41" s="16">
        <v>1.92</v>
      </c>
      <c r="D41" s="13">
        <v>82</v>
      </c>
      <c r="E41" s="65">
        <f t="shared" si="1"/>
        <v>157.44</v>
      </c>
      <c r="F41" s="13">
        <v>20</v>
      </c>
      <c r="G41" s="159">
        <f>C41*F41</f>
        <v>38.4</v>
      </c>
    </row>
    <row r="42" spans="1:7" ht="25.5" customHeight="1">
      <c r="A42" s="23" t="s">
        <v>169</v>
      </c>
      <c r="B42" s="12" t="s">
        <v>170</v>
      </c>
      <c r="C42" s="16">
        <f>50.08*1.196</f>
        <v>59.89568</v>
      </c>
      <c r="D42" s="13">
        <v>2</v>
      </c>
      <c r="E42" s="65">
        <f t="shared" si="1"/>
        <v>119.79136</v>
      </c>
      <c r="F42" s="13"/>
      <c r="G42" s="75"/>
    </row>
    <row r="43" spans="1:7" ht="25.5" customHeight="1">
      <c r="A43" s="23" t="s">
        <v>171</v>
      </c>
      <c r="B43" s="12" t="s">
        <v>172</v>
      </c>
      <c r="C43" s="16">
        <f>3.36*1.196</f>
        <v>4.01856</v>
      </c>
      <c r="D43" s="13">
        <v>25</v>
      </c>
      <c r="E43" s="65">
        <f t="shared" si="1"/>
        <v>100.464</v>
      </c>
      <c r="F43" s="13"/>
      <c r="G43" s="75"/>
    </row>
    <row r="44" spans="1:7" ht="25.5" customHeight="1">
      <c r="A44" s="23" t="s">
        <v>173</v>
      </c>
      <c r="B44" s="12"/>
      <c r="C44" s="16"/>
      <c r="D44" s="13"/>
      <c r="E44" s="65">
        <f>(3.42+6.6)*1.196</f>
        <v>11.98392</v>
      </c>
      <c r="F44" s="13"/>
      <c r="G44" s="75"/>
    </row>
    <row r="45" spans="1:7" ht="21.75" customHeight="1">
      <c r="A45" s="23" t="s">
        <v>174</v>
      </c>
      <c r="B45" s="12" t="s">
        <v>175</v>
      </c>
      <c r="C45" s="16">
        <f>1.11*1.196</f>
        <v>1.32756</v>
      </c>
      <c r="D45" s="13">
        <v>50</v>
      </c>
      <c r="E45" s="65">
        <f aca="true" t="shared" si="2" ref="E45:E50">PRODUCT(C45,D45)</f>
        <v>66.378</v>
      </c>
      <c r="F45" s="13"/>
      <c r="G45" s="75"/>
    </row>
    <row r="46" spans="1:7" ht="21.75" customHeight="1">
      <c r="A46" s="23" t="s">
        <v>176</v>
      </c>
      <c r="B46" s="12" t="s">
        <v>177</v>
      </c>
      <c r="C46" s="16">
        <f>12.33*1.196</f>
        <v>14.74668</v>
      </c>
      <c r="D46" s="13">
        <v>0</v>
      </c>
      <c r="E46" s="65">
        <f t="shared" si="2"/>
        <v>0</v>
      </c>
      <c r="F46" s="13">
        <v>1</v>
      </c>
      <c r="G46" s="75">
        <f>C46*F46</f>
        <v>14.74668</v>
      </c>
    </row>
    <row r="47" spans="1:7" ht="21.75" customHeight="1">
      <c r="A47" s="23" t="s">
        <v>178</v>
      </c>
      <c r="B47" s="12" t="s">
        <v>75</v>
      </c>
      <c r="C47" s="16">
        <v>1.196</v>
      </c>
      <c r="D47" s="13">
        <v>25</v>
      </c>
      <c r="E47" s="65">
        <f t="shared" si="2"/>
        <v>29.9</v>
      </c>
      <c r="F47" s="13"/>
      <c r="G47" s="75"/>
    </row>
    <row r="48" spans="1:7" ht="21.75" customHeight="1">
      <c r="A48" s="23" t="s">
        <v>179</v>
      </c>
      <c r="B48" s="12" t="s">
        <v>83</v>
      </c>
      <c r="C48" s="16">
        <f>0.16*1.196</f>
        <v>0.19136</v>
      </c>
      <c r="D48" s="13">
        <v>80</v>
      </c>
      <c r="E48" s="65">
        <f t="shared" si="2"/>
        <v>15.3088</v>
      </c>
      <c r="F48" s="13"/>
      <c r="G48" s="75"/>
    </row>
    <row r="49" spans="1:7" ht="21.75" customHeight="1">
      <c r="A49" s="23" t="s">
        <v>180</v>
      </c>
      <c r="B49" s="12" t="s">
        <v>99</v>
      </c>
      <c r="C49" s="16">
        <f>55*1.196</f>
        <v>65.78</v>
      </c>
      <c r="D49" s="13">
        <v>4</v>
      </c>
      <c r="E49" s="65">
        <f t="shared" si="2"/>
        <v>263.12</v>
      </c>
      <c r="F49" s="13"/>
      <c r="G49" s="75"/>
    </row>
    <row r="50" spans="1:7" ht="21.75" customHeight="1">
      <c r="A50" s="23" t="s">
        <v>181</v>
      </c>
      <c r="B50" s="12" t="s">
        <v>182</v>
      </c>
      <c r="C50" s="16">
        <v>165</v>
      </c>
      <c r="D50" s="13">
        <v>0</v>
      </c>
      <c r="E50" s="65">
        <f t="shared" si="2"/>
        <v>0</v>
      </c>
      <c r="F50" s="13"/>
      <c r="G50" s="75"/>
    </row>
    <row r="51" spans="1:7" ht="21.75" customHeight="1" thickBot="1">
      <c r="A51" s="78" t="s">
        <v>183</v>
      </c>
      <c r="B51" s="79"/>
      <c r="C51" s="80"/>
      <c r="D51" s="81"/>
      <c r="E51" s="128">
        <f>SUM(E4:E50)</f>
        <v>5488.847993999998</v>
      </c>
      <c r="F51" s="81"/>
      <c r="G51" s="82">
        <f>SUM(G4:G50)</f>
        <v>472.52714199999997</v>
      </c>
    </row>
    <row r="52" spans="1:7" s="4" customFormat="1" ht="21.75" customHeight="1" thickBot="1">
      <c r="A52" s="169"/>
      <c r="B52" s="170"/>
      <c r="C52" s="171"/>
      <c r="D52" s="170"/>
      <c r="E52" s="171"/>
      <c r="F52" s="170"/>
      <c r="G52" s="171"/>
    </row>
    <row r="53" spans="1:7" ht="27.75" customHeight="1">
      <c r="A53" s="28" t="s">
        <v>3</v>
      </c>
      <c r="B53" s="36" t="s">
        <v>4</v>
      </c>
      <c r="C53" s="37" t="s">
        <v>5</v>
      </c>
      <c r="D53" s="168" t="s">
        <v>184</v>
      </c>
      <c r="E53" s="168"/>
      <c r="F53" s="38" t="s">
        <v>72</v>
      </c>
      <c r="G53" s="100"/>
    </row>
    <row r="54" spans="1:7" ht="18.75" customHeight="1" thickBot="1">
      <c r="A54" s="31"/>
      <c r="B54" s="40"/>
      <c r="C54" s="41"/>
      <c r="D54" s="32" t="s">
        <v>73</v>
      </c>
      <c r="E54" s="101" t="s">
        <v>7</v>
      </c>
      <c r="F54" s="32" t="s">
        <v>73</v>
      </c>
      <c r="G54" s="102" t="s">
        <v>7</v>
      </c>
    </row>
    <row r="55" spans="1:7" ht="18.75" customHeight="1">
      <c r="A55" s="165" t="s">
        <v>185</v>
      </c>
      <c r="B55" s="166"/>
      <c r="C55" s="166"/>
      <c r="D55" s="166"/>
      <c r="E55" s="166"/>
      <c r="F55" s="166"/>
      <c r="G55" s="167"/>
    </row>
    <row r="56" spans="1:7" ht="12.75">
      <c r="A56" s="23" t="s">
        <v>186</v>
      </c>
      <c r="B56" s="12" t="s">
        <v>101</v>
      </c>
      <c r="C56" s="16">
        <f>26.35*1.196</f>
        <v>31.5146</v>
      </c>
      <c r="D56" s="148">
        <v>11.15</v>
      </c>
      <c r="E56" s="149">
        <f>D56*C56</f>
        <v>351.38779000000005</v>
      </c>
      <c r="F56" s="148">
        <v>8.35</v>
      </c>
      <c r="G56" s="160">
        <f>C56*F56</f>
        <v>263.14691</v>
      </c>
    </row>
    <row r="57" spans="1:7" ht="12.75">
      <c r="A57" s="23" t="s">
        <v>187</v>
      </c>
      <c r="B57" s="12" t="s">
        <v>188</v>
      </c>
      <c r="C57" s="16">
        <v>100</v>
      </c>
      <c r="D57" s="148">
        <v>0</v>
      </c>
      <c r="E57" s="149">
        <f>C57*D57</f>
        <v>0</v>
      </c>
      <c r="F57" s="148"/>
      <c r="G57" s="160"/>
    </row>
    <row r="58" spans="1:7" ht="12.75">
      <c r="A58" s="23" t="s">
        <v>189</v>
      </c>
      <c r="B58" s="12" t="s">
        <v>122</v>
      </c>
      <c r="C58" s="16">
        <f>66.5*1.196</f>
        <v>79.53399999999999</v>
      </c>
      <c r="D58" s="148">
        <v>12.17</v>
      </c>
      <c r="E58" s="149">
        <f>D58*C58</f>
        <v>967.9287799999998</v>
      </c>
      <c r="F58" s="148"/>
      <c r="G58" s="160"/>
    </row>
    <row r="59" spans="1:7" ht="12.75">
      <c r="A59" s="23" t="s">
        <v>190</v>
      </c>
      <c r="B59" s="12" t="s">
        <v>191</v>
      </c>
      <c r="C59" s="16">
        <v>6.95</v>
      </c>
      <c r="D59" s="148"/>
      <c r="E59" s="149"/>
      <c r="F59" s="148">
        <v>10</v>
      </c>
      <c r="G59" s="160">
        <f>C59*F59</f>
        <v>69.5</v>
      </c>
    </row>
    <row r="60" spans="1:7" ht="15.75" customHeight="1">
      <c r="A60" s="23" t="s">
        <v>192</v>
      </c>
      <c r="B60" s="12" t="s">
        <v>193</v>
      </c>
      <c r="C60" s="16">
        <f>7.85*1.196</f>
        <v>9.388599999999999</v>
      </c>
      <c r="D60" s="148">
        <f>160-28</f>
        <v>132</v>
      </c>
      <c r="E60" s="149">
        <f>D60*C60</f>
        <v>1239.2951999999998</v>
      </c>
      <c r="F60" s="148">
        <v>20</v>
      </c>
      <c r="G60" s="160">
        <f>C60*F60</f>
        <v>187.77199999999996</v>
      </c>
    </row>
    <row r="61" spans="1:7" ht="12.75">
      <c r="A61" s="23" t="s">
        <v>194</v>
      </c>
      <c r="B61" s="12" t="s">
        <v>101</v>
      </c>
      <c r="C61" s="16">
        <f>13.59*1.196</f>
        <v>16.25364</v>
      </c>
      <c r="D61" s="148">
        <v>0</v>
      </c>
      <c r="E61" s="149">
        <f>D61*C61</f>
        <v>0</v>
      </c>
      <c r="F61" s="148">
        <v>0</v>
      </c>
      <c r="G61" s="160">
        <f>C61*F61</f>
        <v>0</v>
      </c>
    </row>
    <row r="62" spans="1:7" ht="12.75">
      <c r="A62" s="23" t="s">
        <v>195</v>
      </c>
      <c r="B62" s="12" t="s">
        <v>101</v>
      </c>
      <c r="C62" s="16">
        <f>13.59*1.196</f>
        <v>16.25364</v>
      </c>
      <c r="D62" s="148">
        <v>60</v>
      </c>
      <c r="E62" s="149">
        <f>D62*C62</f>
        <v>975.2184000000001</v>
      </c>
      <c r="F62" s="148"/>
      <c r="G62" s="160"/>
    </row>
    <row r="63" spans="1:7" ht="12.75">
      <c r="A63" s="23" t="s">
        <v>196</v>
      </c>
      <c r="B63" s="12" t="s">
        <v>99</v>
      </c>
      <c r="C63" s="16">
        <f>55*1.196</f>
        <v>65.78</v>
      </c>
      <c r="D63" s="148">
        <v>4.75</v>
      </c>
      <c r="E63" s="149">
        <f>D63*C63</f>
        <v>312.455</v>
      </c>
      <c r="F63" s="148"/>
      <c r="G63" s="160"/>
    </row>
    <row r="64" spans="1:7" ht="12.75">
      <c r="A64" s="23" t="s">
        <v>197</v>
      </c>
      <c r="B64" s="12" t="s">
        <v>182</v>
      </c>
      <c r="C64" s="16">
        <v>165</v>
      </c>
      <c r="D64" s="148">
        <v>0</v>
      </c>
      <c r="E64" s="149">
        <f>C64*D64</f>
        <v>0</v>
      </c>
      <c r="F64" s="148"/>
      <c r="G64" s="160"/>
    </row>
    <row r="65" spans="1:7" ht="12.75">
      <c r="A65" s="23" t="s">
        <v>198</v>
      </c>
      <c r="B65" s="12" t="s">
        <v>170</v>
      </c>
      <c r="C65" s="16">
        <f>26.76*1.196</f>
        <v>32.004960000000004</v>
      </c>
      <c r="D65" s="148">
        <v>0</v>
      </c>
      <c r="E65" s="149">
        <f>C65*D65</f>
        <v>0</v>
      </c>
      <c r="F65" s="148"/>
      <c r="G65" s="160"/>
    </row>
    <row r="66" spans="1:7" ht="12.75">
      <c r="A66" s="23" t="s">
        <v>199</v>
      </c>
      <c r="B66" s="12" t="s">
        <v>122</v>
      </c>
      <c r="C66" s="16">
        <v>126.78</v>
      </c>
      <c r="D66" s="148"/>
      <c r="E66" s="149"/>
      <c r="F66" s="148"/>
      <c r="G66" s="160"/>
    </row>
    <row r="67" spans="1:7" ht="12.75">
      <c r="A67" s="161" t="s">
        <v>200</v>
      </c>
      <c r="B67" s="150"/>
      <c r="C67" s="151"/>
      <c r="D67" s="148"/>
      <c r="E67" s="18">
        <f>SUM(E56:E66)</f>
        <v>3846.2851699999997</v>
      </c>
      <c r="F67" s="14"/>
      <c r="G67" s="51">
        <f>SUM(G56:G66)</f>
        <v>520.41891</v>
      </c>
    </row>
    <row r="68" spans="1:7" ht="12.75">
      <c r="A68" s="142"/>
      <c r="B68" s="152"/>
      <c r="C68" s="153"/>
      <c r="D68" s="152"/>
      <c r="E68" s="154"/>
      <c r="F68" s="155"/>
      <c r="G68" s="162"/>
    </row>
    <row r="69" spans="1:7" ht="12.75">
      <c r="A69" s="161" t="s">
        <v>62</v>
      </c>
      <c r="B69" s="68"/>
      <c r="C69" s="69"/>
      <c r="D69" s="70"/>
      <c r="E69" s="18">
        <f>E51+E67</f>
        <v>9335.133163999997</v>
      </c>
      <c r="F69" s="148"/>
      <c r="G69" s="51">
        <f>G67+G51</f>
        <v>992.946052</v>
      </c>
    </row>
    <row r="70" spans="1:7" ht="13.5" thickBot="1">
      <c r="A70" s="78" t="s">
        <v>62</v>
      </c>
      <c r="B70" s="79"/>
      <c r="C70" s="80"/>
      <c r="D70" s="81"/>
      <c r="E70" s="163">
        <f>E51+E67+G51+G67</f>
        <v>10328.079215999998</v>
      </c>
      <c r="F70" s="163"/>
      <c r="G70" s="164"/>
    </row>
  </sheetData>
  <sheetProtection selectLockedCells="1" selectUnlockedCells="1"/>
  <mergeCells count="13">
    <mergeCell ref="A55:G55"/>
    <mergeCell ref="E70:G70"/>
    <mergeCell ref="F1:G1"/>
    <mergeCell ref="A3:G3"/>
    <mergeCell ref="A53:A54"/>
    <mergeCell ref="B53:B54"/>
    <mergeCell ref="C53:C54"/>
    <mergeCell ref="D53:E53"/>
    <mergeCell ref="F53:G53"/>
    <mergeCell ref="A1:A2"/>
    <mergeCell ref="B1:B2"/>
    <mergeCell ref="C1:C2"/>
    <mergeCell ref="D1:E1"/>
  </mergeCell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K8" sqref="K8"/>
    </sheetView>
  </sheetViews>
  <sheetFormatPr defaultColWidth="11.421875" defaultRowHeight="22.5" customHeight="1"/>
  <cols>
    <col min="1" max="1" width="31.140625" style="0" customWidth="1"/>
    <col min="2" max="2" width="12.421875" style="0" customWidth="1"/>
    <col min="3" max="3" width="11.421875" style="17" customWidth="1"/>
    <col min="4" max="4" width="7.28125" style="2" customWidth="1"/>
    <col min="5" max="5" width="10.28125" style="17" customWidth="1"/>
    <col min="6" max="6" width="0" style="0" hidden="1" customWidth="1"/>
    <col min="7" max="7" width="16.140625" style="5" customWidth="1"/>
    <col min="8" max="16384" width="11.57421875" style="0" customWidth="1"/>
  </cols>
  <sheetData>
    <row r="1" spans="1:7" ht="12.75">
      <c r="A1" s="28" t="s">
        <v>3</v>
      </c>
      <c r="B1" s="36" t="s">
        <v>4</v>
      </c>
      <c r="C1" s="37" t="s">
        <v>201</v>
      </c>
      <c r="D1" s="29" t="s">
        <v>63</v>
      </c>
      <c r="E1" s="30"/>
      <c r="G1"/>
    </row>
    <row r="2" spans="1:7" ht="13.5" thickBot="1">
      <c r="A2" s="31"/>
      <c r="B2" s="40"/>
      <c r="C2" s="41"/>
      <c r="D2" s="32" t="s">
        <v>73</v>
      </c>
      <c r="E2" s="102" t="s">
        <v>7</v>
      </c>
      <c r="G2"/>
    </row>
    <row r="3" spans="1:7" ht="24" customHeight="1">
      <c r="A3" s="136" t="s">
        <v>202</v>
      </c>
      <c r="B3" s="137"/>
      <c r="C3" s="137"/>
      <c r="D3" s="137"/>
      <c r="E3" s="138"/>
      <c r="G3"/>
    </row>
    <row r="4" spans="1:7" ht="21.75" customHeight="1">
      <c r="A4" s="23" t="s">
        <v>203</v>
      </c>
      <c r="B4" s="11" t="s">
        <v>4</v>
      </c>
      <c r="C4" s="16">
        <v>0.8</v>
      </c>
      <c r="D4" s="13">
        <v>300</v>
      </c>
      <c r="E4" s="75">
        <f>C4*D4</f>
        <v>240</v>
      </c>
      <c r="G4"/>
    </row>
    <row r="5" spans="1:7" ht="21.75" customHeight="1">
      <c r="A5" s="139" t="s">
        <v>204</v>
      </c>
      <c r="B5" s="133"/>
      <c r="C5" s="133"/>
      <c r="D5" s="133"/>
      <c r="E5" s="140"/>
      <c r="G5"/>
    </row>
    <row r="6" spans="1:7" ht="21.75" customHeight="1">
      <c r="A6" s="23" t="s">
        <v>203</v>
      </c>
      <c r="B6" s="11" t="s">
        <v>4</v>
      </c>
      <c r="C6" s="16">
        <v>0.8</v>
      </c>
      <c r="D6" s="13">
        <v>600</v>
      </c>
      <c r="E6" s="75">
        <f>PRODUCT(C6,D6)</f>
        <v>480</v>
      </c>
      <c r="G6"/>
    </row>
    <row r="7" spans="1:7" ht="21.75" customHeight="1">
      <c r="A7" s="23" t="s">
        <v>205</v>
      </c>
      <c r="B7" s="11" t="s">
        <v>4</v>
      </c>
      <c r="C7" s="16">
        <v>1</v>
      </c>
      <c r="D7" s="13">
        <v>500</v>
      </c>
      <c r="E7" s="141">
        <f>C7*D7</f>
        <v>500</v>
      </c>
      <c r="G7"/>
    </row>
    <row r="8" spans="1:7" ht="21.75" customHeight="1">
      <c r="A8" s="23" t="s">
        <v>206</v>
      </c>
      <c r="B8" s="11" t="s">
        <v>4</v>
      </c>
      <c r="C8" s="16">
        <v>52.62</v>
      </c>
      <c r="D8" s="13">
        <v>1</v>
      </c>
      <c r="E8" s="75">
        <f>C8*D8</f>
        <v>52.62</v>
      </c>
      <c r="G8"/>
    </row>
    <row r="9" spans="1:7" ht="21.75" customHeight="1">
      <c r="A9" s="23" t="s">
        <v>207</v>
      </c>
      <c r="B9" s="11"/>
      <c r="C9" s="16"/>
      <c r="D9" s="13"/>
      <c r="E9" s="75">
        <v>6000</v>
      </c>
      <c r="G9"/>
    </row>
    <row r="10" spans="1:7" ht="21.75" customHeight="1">
      <c r="A10" s="23" t="s">
        <v>208</v>
      </c>
      <c r="B10" s="11" t="s">
        <v>209</v>
      </c>
      <c r="C10" s="16">
        <f>12*1.196</f>
        <v>14.352</v>
      </c>
      <c r="D10" s="13">
        <v>34</v>
      </c>
      <c r="E10" s="75">
        <f>C10*D10</f>
        <v>487.968</v>
      </c>
      <c r="G10"/>
    </row>
    <row r="11" spans="1:7" ht="21.75" customHeight="1">
      <c r="A11" s="23" t="s">
        <v>210</v>
      </c>
      <c r="B11" s="11" t="s">
        <v>209</v>
      </c>
      <c r="C11" s="16">
        <f>26.35*1.196</f>
        <v>31.5146</v>
      </c>
      <c r="D11" s="13">
        <v>10.7</v>
      </c>
      <c r="E11" s="75">
        <f>C11*D11</f>
        <v>337.20622</v>
      </c>
      <c r="G11"/>
    </row>
    <row r="12" spans="1:7" ht="21.75" customHeight="1">
      <c r="A12" s="23" t="s">
        <v>211</v>
      </c>
      <c r="B12" s="11"/>
      <c r="C12" s="16"/>
      <c r="D12" s="13"/>
      <c r="E12" s="141">
        <v>240</v>
      </c>
      <c r="G12"/>
    </row>
    <row r="13" spans="1:7" ht="21.75" customHeight="1">
      <c r="A13" s="23"/>
      <c r="B13" s="11"/>
      <c r="C13" s="16"/>
      <c r="D13" s="13"/>
      <c r="E13" s="75"/>
      <c r="G13"/>
    </row>
    <row r="14" spans="1:7" ht="21.75" customHeight="1">
      <c r="A14" s="23"/>
      <c r="B14" s="11"/>
      <c r="C14" s="16"/>
      <c r="D14" s="13"/>
      <c r="E14" s="75"/>
      <c r="G14"/>
    </row>
    <row r="15" spans="1:7" ht="21.75" customHeight="1">
      <c r="A15" s="142" t="s">
        <v>212</v>
      </c>
      <c r="B15" s="134"/>
      <c r="C15" s="135"/>
      <c r="D15" s="13"/>
      <c r="E15" s="143">
        <f>SUM(E6:E13)</f>
        <v>8097.79422</v>
      </c>
      <c r="G15"/>
    </row>
    <row r="16" spans="1:7" ht="22.5" customHeight="1" thickBot="1">
      <c r="A16" s="144" t="s">
        <v>62</v>
      </c>
      <c r="B16" s="145"/>
      <c r="C16" s="146"/>
      <c r="D16" s="81"/>
      <c r="E16" s="147">
        <f>SUM(E4,E15)</f>
        <v>8337.79422</v>
      </c>
      <c r="G16"/>
    </row>
  </sheetData>
  <sheetProtection selectLockedCells="1" selectUnlockedCells="1"/>
  <mergeCells count="6">
    <mergeCell ref="A3:E3"/>
    <mergeCell ref="A5:E5"/>
    <mergeCell ref="A1:A2"/>
    <mergeCell ref="B1:B2"/>
    <mergeCell ref="C1:C2"/>
    <mergeCell ref="D1:E1"/>
  </mergeCell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43"/>
  <sheetViews>
    <sheetView workbookViewId="0" topLeftCell="A1">
      <selection activeCell="A1" sqref="A1:G2"/>
    </sheetView>
  </sheetViews>
  <sheetFormatPr defaultColWidth="11.421875" defaultRowHeight="21.75" customHeight="1"/>
  <cols>
    <col min="1" max="1" width="40.00390625" style="6" customWidth="1"/>
    <col min="2" max="2" width="8.57421875" style="2" customWidth="1"/>
    <col min="3" max="3" width="11.421875" style="17" customWidth="1"/>
    <col min="4" max="4" width="8.57421875" style="17" customWidth="1"/>
    <col min="5" max="5" width="9.28125" style="17" customWidth="1"/>
    <col min="6" max="6" width="11.28125" style="0" customWidth="1"/>
    <col min="7" max="7" width="11.7109375" style="64" customWidth="1"/>
    <col min="8" max="16384" width="11.57421875" style="0" customWidth="1"/>
  </cols>
  <sheetData>
    <row r="1" spans="1:7" ht="12.75" customHeight="1">
      <c r="A1" s="129" t="s">
        <v>3</v>
      </c>
      <c r="B1" s="36" t="s">
        <v>4</v>
      </c>
      <c r="C1" s="37" t="s">
        <v>201</v>
      </c>
      <c r="D1" s="29" t="s">
        <v>63</v>
      </c>
      <c r="E1" s="29"/>
      <c r="F1" s="38" t="s">
        <v>72</v>
      </c>
      <c r="G1" s="100"/>
    </row>
    <row r="2" spans="1:7" ht="13.5" thickBot="1">
      <c r="A2" s="130"/>
      <c r="B2" s="40"/>
      <c r="C2" s="41"/>
      <c r="D2" s="101" t="s">
        <v>6</v>
      </c>
      <c r="E2" s="101" t="s">
        <v>64</v>
      </c>
      <c r="F2" s="32" t="s">
        <v>6</v>
      </c>
      <c r="G2" s="102" t="s">
        <v>213</v>
      </c>
    </row>
    <row r="3" spans="1:7" ht="21.75" customHeight="1">
      <c r="A3" s="125" t="s">
        <v>214</v>
      </c>
      <c r="B3" s="121" t="s">
        <v>75</v>
      </c>
      <c r="C3" s="122">
        <f>7.29*1.196</f>
        <v>8.71884</v>
      </c>
      <c r="D3" s="119">
        <v>173.24</v>
      </c>
      <c r="E3" s="119">
        <f>PRODUCT(C3,D3)</f>
        <v>1510.4518416</v>
      </c>
      <c r="F3" s="21"/>
      <c r="G3" s="110"/>
    </row>
    <row r="4" spans="1:7" ht="21.75" customHeight="1">
      <c r="A4" s="76" t="s">
        <v>215</v>
      </c>
      <c r="B4" s="12" t="s">
        <v>75</v>
      </c>
      <c r="C4" s="16"/>
      <c r="D4" s="65"/>
      <c r="E4" s="65"/>
      <c r="F4" s="19">
        <v>40</v>
      </c>
      <c r="G4" s="132">
        <v>250</v>
      </c>
    </row>
    <row r="5" spans="1:7" ht="21.75" customHeight="1">
      <c r="A5" s="76" t="s">
        <v>178</v>
      </c>
      <c r="B5" s="12" t="s">
        <v>75</v>
      </c>
      <c r="C5" s="16">
        <f>1.21*1.196</f>
        <v>1.44716</v>
      </c>
      <c r="D5" s="65">
        <v>200</v>
      </c>
      <c r="E5" s="65">
        <f>C5*D5</f>
        <v>289.432</v>
      </c>
      <c r="F5" s="19"/>
      <c r="G5" s="111"/>
    </row>
    <row r="6" spans="1:7" ht="21.75" customHeight="1">
      <c r="A6" s="76" t="s">
        <v>216</v>
      </c>
      <c r="B6" s="12" t="s">
        <v>75</v>
      </c>
      <c r="C6" s="16"/>
      <c r="D6" s="65"/>
      <c r="E6" s="65"/>
      <c r="F6" s="19">
        <v>40</v>
      </c>
      <c r="G6" s="132">
        <v>50</v>
      </c>
    </row>
    <row r="7" spans="1:7" ht="21.75" customHeight="1">
      <c r="A7" s="76" t="s">
        <v>217</v>
      </c>
      <c r="B7" s="12" t="s">
        <v>4</v>
      </c>
      <c r="C7" s="16">
        <f>12.64*1.196</f>
        <v>15.11744</v>
      </c>
      <c r="D7" s="65">
        <v>2</v>
      </c>
      <c r="E7" s="65">
        <f aca="true" t="shared" si="0" ref="E7:E17">C7*D7</f>
        <v>30.23488</v>
      </c>
      <c r="F7" s="19"/>
      <c r="G7" s="111"/>
    </row>
    <row r="8" spans="1:7" ht="21.75" customHeight="1">
      <c r="A8" s="76" t="s">
        <v>218</v>
      </c>
      <c r="B8" s="12" t="s">
        <v>219</v>
      </c>
      <c r="C8" s="16">
        <f>32.61*1.196</f>
        <v>39.00156</v>
      </c>
      <c r="D8" s="65">
        <v>12</v>
      </c>
      <c r="E8" s="65">
        <f t="shared" si="0"/>
        <v>468.01872</v>
      </c>
      <c r="F8" s="19"/>
      <c r="G8" s="111"/>
    </row>
    <row r="9" spans="1:7" ht="26.25" customHeight="1">
      <c r="A9" s="76" t="s">
        <v>220</v>
      </c>
      <c r="B9" s="12" t="s">
        <v>75</v>
      </c>
      <c r="C9" s="16">
        <f>27.28*1.196</f>
        <v>32.62688</v>
      </c>
      <c r="D9" s="65">
        <v>11</v>
      </c>
      <c r="E9" s="65">
        <f t="shared" si="0"/>
        <v>358.89567999999997</v>
      </c>
      <c r="F9" s="19"/>
      <c r="G9" s="111"/>
    </row>
    <row r="10" spans="1:7" ht="26.25" customHeight="1">
      <c r="A10" s="76" t="s">
        <v>221</v>
      </c>
      <c r="B10" s="12" t="s">
        <v>222</v>
      </c>
      <c r="C10" s="16">
        <f>28.68*1.196</f>
        <v>34.30128</v>
      </c>
      <c r="D10" s="65">
        <v>1</v>
      </c>
      <c r="E10" s="65">
        <f t="shared" si="0"/>
        <v>34.30128</v>
      </c>
      <c r="F10" s="19"/>
      <c r="G10" s="111"/>
    </row>
    <row r="11" spans="1:7" ht="26.25" customHeight="1">
      <c r="A11" s="76" t="s">
        <v>223</v>
      </c>
      <c r="B11" s="12" t="s">
        <v>222</v>
      </c>
      <c r="C11" s="16">
        <f>105.35*1.196</f>
        <v>125.99859999999998</v>
      </c>
      <c r="D11" s="65">
        <v>1</v>
      </c>
      <c r="E11" s="65">
        <f t="shared" si="0"/>
        <v>125.99859999999998</v>
      </c>
      <c r="F11" s="19"/>
      <c r="G11" s="111"/>
    </row>
    <row r="12" spans="1:7" ht="26.25" customHeight="1">
      <c r="A12" s="76" t="s">
        <v>224</v>
      </c>
      <c r="B12" s="12" t="s">
        <v>225</v>
      </c>
      <c r="C12" s="16">
        <f>70.15*1.196</f>
        <v>83.8994</v>
      </c>
      <c r="D12" s="65">
        <v>1</v>
      </c>
      <c r="E12" s="65">
        <f t="shared" si="0"/>
        <v>83.8994</v>
      </c>
      <c r="F12" s="19"/>
      <c r="G12" s="111"/>
    </row>
    <row r="13" spans="1:7" ht="26.25" customHeight="1">
      <c r="A13" s="76" t="s">
        <v>226</v>
      </c>
      <c r="B13" s="12" t="s">
        <v>99</v>
      </c>
      <c r="C13" s="16">
        <f>35*1.196</f>
        <v>41.86</v>
      </c>
      <c r="D13" s="65">
        <v>8</v>
      </c>
      <c r="E13" s="65">
        <f t="shared" si="0"/>
        <v>334.88</v>
      </c>
      <c r="F13" s="19"/>
      <c r="G13" s="111"/>
    </row>
    <row r="14" spans="1:7" ht="21.75" customHeight="1">
      <c r="A14" s="76" t="s">
        <v>227</v>
      </c>
      <c r="B14" s="12" t="s">
        <v>75</v>
      </c>
      <c r="C14" s="16">
        <f>(8.88+3.59)*1.196</f>
        <v>14.91412</v>
      </c>
      <c r="D14" s="65">
        <v>32.94</v>
      </c>
      <c r="E14" s="65">
        <f t="shared" si="0"/>
        <v>491.27111279999997</v>
      </c>
      <c r="F14" s="19"/>
      <c r="G14" s="111"/>
    </row>
    <row r="15" spans="1:7" ht="21.75" customHeight="1">
      <c r="A15" s="76" t="s">
        <v>228</v>
      </c>
      <c r="B15" s="12" t="s">
        <v>229</v>
      </c>
      <c r="C15" s="16">
        <f>52.55*1.196</f>
        <v>62.849799999999995</v>
      </c>
      <c r="D15" s="65">
        <v>1</v>
      </c>
      <c r="E15" s="65">
        <f t="shared" si="0"/>
        <v>62.849799999999995</v>
      </c>
      <c r="F15" s="19"/>
      <c r="G15" s="111"/>
    </row>
    <row r="16" spans="1:7" ht="21.75" customHeight="1">
      <c r="A16" s="76" t="s">
        <v>230</v>
      </c>
      <c r="B16" s="12" t="s">
        <v>229</v>
      </c>
      <c r="C16" s="16">
        <f>24.16*1.196</f>
        <v>28.89536</v>
      </c>
      <c r="D16" s="65">
        <v>1</v>
      </c>
      <c r="E16" s="65">
        <f t="shared" si="0"/>
        <v>28.89536</v>
      </c>
      <c r="F16" s="19"/>
      <c r="G16" s="111"/>
    </row>
    <row r="17" spans="1:7" ht="21.75" customHeight="1">
      <c r="A17" s="76" t="s">
        <v>231</v>
      </c>
      <c r="B17" s="12" t="s">
        <v>229</v>
      </c>
      <c r="C17" s="16">
        <f>(6.86+3.11)*1.196</f>
        <v>11.92412</v>
      </c>
      <c r="D17" s="65">
        <v>1</v>
      </c>
      <c r="E17" s="65">
        <f t="shared" si="0"/>
        <v>11.92412</v>
      </c>
      <c r="F17" s="19"/>
      <c r="G17" s="111"/>
    </row>
    <row r="18" spans="1:7" ht="21.75" customHeight="1">
      <c r="A18" s="76" t="s">
        <v>232</v>
      </c>
      <c r="B18" s="12" t="s">
        <v>75</v>
      </c>
      <c r="C18" s="16">
        <f>4.49*1.196</f>
        <v>5.37004</v>
      </c>
      <c r="D18" s="65">
        <v>200</v>
      </c>
      <c r="E18" s="65">
        <f>PRODUCT(C18,D18)</f>
        <v>1074.008</v>
      </c>
      <c r="F18" s="19"/>
      <c r="G18" s="111"/>
    </row>
    <row r="19" spans="1:7" ht="21.75" customHeight="1">
      <c r="A19" s="76" t="s">
        <v>233</v>
      </c>
      <c r="B19" s="12" t="s">
        <v>234</v>
      </c>
      <c r="C19" s="16">
        <f>72.43*1.196</f>
        <v>86.62628000000001</v>
      </c>
      <c r="D19" s="65">
        <v>11</v>
      </c>
      <c r="E19" s="65">
        <f>PRODUCT(C19,D19)</f>
        <v>952.8890800000001</v>
      </c>
      <c r="F19" s="19"/>
      <c r="G19" s="111"/>
    </row>
    <row r="20" spans="1:7" ht="21.75" customHeight="1">
      <c r="A20" s="76" t="s">
        <v>235</v>
      </c>
      <c r="B20" s="12"/>
      <c r="C20" s="16"/>
      <c r="D20" s="65"/>
      <c r="E20" s="131">
        <v>140</v>
      </c>
      <c r="F20" s="19"/>
      <c r="G20" s="111"/>
    </row>
    <row r="21" spans="1:7" ht="21.75" customHeight="1">
      <c r="A21" s="76" t="s">
        <v>236</v>
      </c>
      <c r="B21" s="12" t="s">
        <v>101</v>
      </c>
      <c r="C21" s="16">
        <f>40*1.196</f>
        <v>47.839999999999996</v>
      </c>
      <c r="D21" s="65">
        <v>0.46</v>
      </c>
      <c r="E21" s="65">
        <f>PRODUCT(C21,D21)</f>
        <v>22.0064</v>
      </c>
      <c r="F21" s="19"/>
      <c r="G21" s="111"/>
    </row>
    <row r="22" spans="1:7" ht="21.75" customHeight="1">
      <c r="A22" s="76" t="s">
        <v>237</v>
      </c>
      <c r="B22" s="12" t="s">
        <v>101</v>
      </c>
      <c r="C22" s="16">
        <f>40*1.196</f>
        <v>47.839999999999996</v>
      </c>
      <c r="D22" s="65">
        <v>0.5</v>
      </c>
      <c r="E22" s="131">
        <f>PRODUCT(C22,D22)</f>
        <v>23.919999999999998</v>
      </c>
      <c r="F22" s="19"/>
      <c r="G22" s="111"/>
    </row>
    <row r="23" spans="1:7" ht="21.75" customHeight="1">
      <c r="A23" s="76" t="s">
        <v>238</v>
      </c>
      <c r="B23" s="12">
        <v>70</v>
      </c>
      <c r="C23" s="16">
        <f>32.95*1.196</f>
        <v>39.4082</v>
      </c>
      <c r="D23" s="65">
        <v>19</v>
      </c>
      <c r="E23" s="65">
        <f>PRODUCT(C23,D23)</f>
        <v>748.7558</v>
      </c>
      <c r="F23" s="19"/>
      <c r="G23" s="111"/>
    </row>
    <row r="24" spans="1:7" ht="21.75" customHeight="1">
      <c r="A24" s="76" t="s">
        <v>239</v>
      </c>
      <c r="B24" s="12" t="s">
        <v>4</v>
      </c>
      <c r="C24" s="16">
        <f>45*1.196</f>
        <v>53.82</v>
      </c>
      <c r="D24" s="65">
        <v>1</v>
      </c>
      <c r="E24" s="65">
        <f>PRODUCT(C24,D24)</f>
        <v>53.82</v>
      </c>
      <c r="F24" s="19"/>
      <c r="G24" s="111"/>
    </row>
    <row r="25" spans="1:7" ht="21.75" customHeight="1">
      <c r="A25" s="76" t="s">
        <v>240</v>
      </c>
      <c r="B25" s="12" t="s">
        <v>4</v>
      </c>
      <c r="C25" s="16">
        <f>255*1.196</f>
        <v>304.97999999999996</v>
      </c>
      <c r="D25" s="65">
        <v>1</v>
      </c>
      <c r="E25" s="65">
        <f>C25*D25</f>
        <v>304.97999999999996</v>
      </c>
      <c r="F25" s="19"/>
      <c r="G25" s="111"/>
    </row>
    <row r="26" spans="1:7" ht="21.75" customHeight="1">
      <c r="A26" s="76" t="s">
        <v>241</v>
      </c>
      <c r="B26" s="12" t="s">
        <v>4</v>
      </c>
      <c r="C26" s="16">
        <f>0.94*1.196</f>
        <v>1.1242400000000001</v>
      </c>
      <c r="D26" s="65">
        <v>0</v>
      </c>
      <c r="E26" s="65"/>
      <c r="F26" s="19">
        <v>4</v>
      </c>
      <c r="G26" s="111">
        <f>C26*F26</f>
        <v>4.4969600000000005</v>
      </c>
    </row>
    <row r="27" spans="1:7" ht="21.75" customHeight="1">
      <c r="A27" s="76" t="s">
        <v>242</v>
      </c>
      <c r="B27" s="12" t="s">
        <v>4</v>
      </c>
      <c r="C27" s="16">
        <f>3.5*1.196</f>
        <v>4.186</v>
      </c>
      <c r="D27" s="65"/>
      <c r="E27" s="65"/>
      <c r="F27" s="19">
        <v>2</v>
      </c>
      <c r="G27" s="111">
        <f>C27*F27</f>
        <v>8.372</v>
      </c>
    </row>
    <row r="28" spans="1:7" ht="21.75" customHeight="1">
      <c r="A28" s="76" t="s">
        <v>243</v>
      </c>
      <c r="B28" s="12" t="s">
        <v>4</v>
      </c>
      <c r="C28" s="16">
        <f>G28/F28</f>
        <v>0.7875</v>
      </c>
      <c r="D28" s="65"/>
      <c r="E28" s="65"/>
      <c r="F28" s="19">
        <v>12</v>
      </c>
      <c r="G28" s="111">
        <v>9.45</v>
      </c>
    </row>
    <row r="29" spans="1:7" ht="27.75" customHeight="1">
      <c r="A29" s="76" t="s">
        <v>244</v>
      </c>
      <c r="B29" s="12" t="s">
        <v>83</v>
      </c>
      <c r="C29" s="16">
        <f>4.18*1.196</f>
        <v>4.99928</v>
      </c>
      <c r="D29" s="65"/>
      <c r="E29" s="65"/>
      <c r="F29" s="19">
        <v>8</v>
      </c>
      <c r="G29" s="111">
        <f>C29*F29</f>
        <v>39.99424</v>
      </c>
    </row>
    <row r="30" spans="1:7" ht="32.25" customHeight="1">
      <c r="A30" s="76" t="s">
        <v>245</v>
      </c>
      <c r="B30" s="12" t="s">
        <v>83</v>
      </c>
      <c r="C30" s="16">
        <f>4.8*1.196</f>
        <v>5.740799999999999</v>
      </c>
      <c r="D30" s="65"/>
      <c r="E30" s="65"/>
      <c r="F30" s="19">
        <v>4</v>
      </c>
      <c r="G30" s="111">
        <f>C30*F30</f>
        <v>22.963199999999997</v>
      </c>
    </row>
    <row r="31" spans="1:7" ht="27.75" customHeight="1">
      <c r="A31" s="76" t="s">
        <v>246</v>
      </c>
      <c r="B31" s="12" t="s">
        <v>4</v>
      </c>
      <c r="C31" s="16">
        <f>2.15*1.196</f>
        <v>2.5713999999999997</v>
      </c>
      <c r="D31" s="65"/>
      <c r="E31" s="65"/>
      <c r="F31" s="19">
        <v>1</v>
      </c>
      <c r="G31" s="111">
        <f>C31*F31</f>
        <v>2.5713999999999997</v>
      </c>
    </row>
    <row r="32" spans="1:7" ht="32.25" customHeight="1">
      <c r="A32" s="76" t="s">
        <v>247</v>
      </c>
      <c r="B32" s="12" t="s">
        <v>4</v>
      </c>
      <c r="C32" s="16">
        <f>0.7*1.196</f>
        <v>0.8372</v>
      </c>
      <c r="D32" s="65"/>
      <c r="E32" s="65"/>
      <c r="F32" s="19">
        <v>2</v>
      </c>
      <c r="G32" s="111">
        <f>C32*F32</f>
        <v>1.6744</v>
      </c>
    </row>
    <row r="33" spans="1:7" ht="32.25" customHeight="1">
      <c r="A33" s="76" t="s">
        <v>248</v>
      </c>
      <c r="B33" s="12" t="s">
        <v>4</v>
      </c>
      <c r="C33" s="16">
        <f>0.79*1.196</f>
        <v>0.94484</v>
      </c>
      <c r="D33" s="65"/>
      <c r="E33" s="65"/>
      <c r="F33" s="19">
        <v>12</v>
      </c>
      <c r="G33" s="111">
        <f>C33*F33</f>
        <v>11.33808</v>
      </c>
    </row>
    <row r="34" spans="1:7" ht="32.25" customHeight="1">
      <c r="A34" s="76" t="s">
        <v>249</v>
      </c>
      <c r="B34" s="12" t="s">
        <v>250</v>
      </c>
      <c r="C34" s="16">
        <f>25.75*1.196</f>
        <v>30.796999999999997</v>
      </c>
      <c r="D34" s="65">
        <f>1.26+2.016</f>
        <v>3.276</v>
      </c>
      <c r="E34" s="124">
        <f aca="true" t="shared" si="1" ref="E34:E40">C34*D34</f>
        <v>100.89097199999999</v>
      </c>
      <c r="F34" s="19"/>
      <c r="G34" s="111"/>
    </row>
    <row r="35" spans="1:7" ht="32.25" customHeight="1">
      <c r="A35" s="76" t="s">
        <v>251</v>
      </c>
      <c r="B35" s="12" t="s">
        <v>83</v>
      </c>
      <c r="C35" s="16">
        <v>1</v>
      </c>
      <c r="D35" s="65">
        <v>75</v>
      </c>
      <c r="E35" s="65">
        <f t="shared" si="1"/>
        <v>75</v>
      </c>
      <c r="F35" s="19"/>
      <c r="G35" s="111"/>
    </row>
    <row r="36" spans="1:7" ht="21.75" customHeight="1">
      <c r="A36" s="76" t="s">
        <v>252</v>
      </c>
      <c r="B36" s="12" t="s">
        <v>83</v>
      </c>
      <c r="C36" s="16">
        <f>1.05*1.196</f>
        <v>1.2558</v>
      </c>
      <c r="D36" s="65">
        <v>13.2</v>
      </c>
      <c r="E36" s="65">
        <f t="shared" si="1"/>
        <v>16.57656</v>
      </c>
      <c r="F36" s="19"/>
      <c r="G36" s="111"/>
    </row>
    <row r="37" spans="1:7" ht="21.75" customHeight="1">
      <c r="A37" s="76" t="s">
        <v>253</v>
      </c>
      <c r="B37" s="12" t="s">
        <v>83</v>
      </c>
      <c r="C37" s="16">
        <f>0.67*1.196</f>
        <v>0.80132</v>
      </c>
      <c r="D37" s="65">
        <v>303</v>
      </c>
      <c r="E37" s="65">
        <f t="shared" si="1"/>
        <v>242.79996</v>
      </c>
      <c r="F37" s="19"/>
      <c r="G37" s="111"/>
    </row>
    <row r="38" spans="1:7" ht="21.75" customHeight="1">
      <c r="A38" s="76" t="s">
        <v>254</v>
      </c>
      <c r="B38" s="12" t="s">
        <v>255</v>
      </c>
      <c r="C38" s="16">
        <f>11.67*1.196</f>
        <v>13.95732</v>
      </c>
      <c r="D38" s="65">
        <v>5</v>
      </c>
      <c r="E38" s="65">
        <f t="shared" si="1"/>
        <v>69.78659999999999</v>
      </c>
      <c r="F38" s="19"/>
      <c r="G38" s="111"/>
    </row>
    <row r="39" spans="1:7" ht="25.5" customHeight="1">
      <c r="A39" s="76" t="s">
        <v>256</v>
      </c>
      <c r="B39" s="12" t="s">
        <v>257</v>
      </c>
      <c r="C39" s="16">
        <f>16.43*1.196</f>
        <v>19.65028</v>
      </c>
      <c r="D39" s="65">
        <v>7</v>
      </c>
      <c r="E39" s="65">
        <f t="shared" si="1"/>
        <v>137.55195999999998</v>
      </c>
      <c r="F39" s="19"/>
      <c r="G39" s="111"/>
    </row>
    <row r="40" spans="1:7" ht="21.75" customHeight="1">
      <c r="A40" s="76" t="s">
        <v>258</v>
      </c>
      <c r="B40" s="12" t="s">
        <v>4</v>
      </c>
      <c r="C40" s="16">
        <f>35*1.196</f>
        <v>41.86</v>
      </c>
      <c r="D40" s="65">
        <v>1</v>
      </c>
      <c r="E40" s="65">
        <f t="shared" si="1"/>
        <v>41.86</v>
      </c>
      <c r="F40" s="19"/>
      <c r="G40" s="111"/>
    </row>
    <row r="41" spans="1:7" ht="21.75" customHeight="1">
      <c r="A41" s="76"/>
      <c r="B41" s="12"/>
      <c r="C41" s="16"/>
      <c r="D41" s="65"/>
      <c r="E41" s="65"/>
      <c r="F41" s="19"/>
      <c r="G41" s="111"/>
    </row>
    <row r="42" spans="1:7" ht="21.75" customHeight="1">
      <c r="A42" s="76"/>
      <c r="B42" s="12"/>
      <c r="C42" s="16"/>
      <c r="D42" s="65"/>
      <c r="E42" s="65"/>
      <c r="F42" s="19"/>
      <c r="G42" s="111"/>
    </row>
    <row r="43" spans="1:256" s="3" customFormat="1" ht="21.75" customHeight="1" thickBot="1">
      <c r="A43" s="127" t="s">
        <v>62</v>
      </c>
      <c r="B43" s="79"/>
      <c r="C43" s="80"/>
      <c r="D43" s="128"/>
      <c r="E43" s="128">
        <f>SUM(E3:E42)</f>
        <v>7835.8981264</v>
      </c>
      <c r="F43" s="114"/>
      <c r="G43" s="116">
        <f>SUM(G3:G42)</f>
        <v>400.86027999999993</v>
      </c>
      <c r="H43"/>
      <c r="I43"/>
      <c r="J43"/>
      <c r="K43"/>
      <c r="L43"/>
      <c r="IO43" s="4"/>
      <c r="IP43" s="4"/>
      <c r="IQ43" s="4"/>
      <c r="IR43" s="4"/>
      <c r="IS43" s="4"/>
      <c r="IT43" s="4"/>
      <c r="IU43" s="4"/>
      <c r="IV43" s="4"/>
    </row>
  </sheetData>
  <sheetProtection selectLockedCells="1" selectUnlockedCells="1"/>
  <mergeCells count="5">
    <mergeCell ref="F1:G1"/>
    <mergeCell ref="A1:A2"/>
    <mergeCell ref="B1:B2"/>
    <mergeCell ref="C1:C2"/>
    <mergeCell ref="D1:E1"/>
  </mergeCell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&amp;CPage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I5" sqref="I5"/>
    </sheetView>
  </sheetViews>
  <sheetFormatPr defaultColWidth="11.421875" defaultRowHeight="24" customHeight="1"/>
  <cols>
    <col min="1" max="1" width="26.7109375" style="6" customWidth="1"/>
    <col min="2" max="2" width="11.8515625" style="2" customWidth="1"/>
    <col min="3" max="3" width="13.28125" style="17" customWidth="1"/>
    <col min="4" max="4" width="5.57421875" style="2" customWidth="1"/>
    <col min="5" max="5" width="9.140625" style="17" customWidth="1"/>
    <col min="6" max="6" width="10.8515625" style="2" customWidth="1"/>
    <col min="7" max="7" width="10.28125" style="2" customWidth="1"/>
    <col min="8" max="16384" width="11.57421875" style="0" customWidth="1"/>
  </cols>
  <sheetData>
    <row r="1" spans="1:7" ht="12.75" customHeight="1">
      <c r="A1" s="129" t="s">
        <v>3</v>
      </c>
      <c r="B1" s="36" t="s">
        <v>4</v>
      </c>
      <c r="C1" s="37" t="s">
        <v>201</v>
      </c>
      <c r="D1" s="29" t="s">
        <v>63</v>
      </c>
      <c r="E1" s="29"/>
      <c r="F1" s="38" t="s">
        <v>72</v>
      </c>
      <c r="G1" s="100"/>
    </row>
    <row r="2" spans="1:7" ht="13.5" thickBot="1">
      <c r="A2" s="130"/>
      <c r="B2" s="40"/>
      <c r="C2" s="41"/>
      <c r="D2" s="32" t="s">
        <v>73</v>
      </c>
      <c r="E2" s="101" t="s">
        <v>7</v>
      </c>
      <c r="F2" s="32" t="s">
        <v>73</v>
      </c>
      <c r="G2" s="27" t="s">
        <v>7</v>
      </c>
    </row>
    <row r="3" spans="1:7" ht="21.75" customHeight="1">
      <c r="A3" s="125" t="s">
        <v>259</v>
      </c>
      <c r="B3" s="121" t="s">
        <v>4</v>
      </c>
      <c r="C3" s="122">
        <v>481.41</v>
      </c>
      <c r="D3" s="118">
        <v>1</v>
      </c>
      <c r="E3" s="119">
        <f>PRODUCT(C3,D3)</f>
        <v>481.41</v>
      </c>
      <c r="F3" s="118"/>
      <c r="G3" s="22"/>
    </row>
    <row r="4" spans="1:7" ht="21.75" customHeight="1">
      <c r="A4" s="126" t="s">
        <v>260</v>
      </c>
      <c r="B4" s="12"/>
      <c r="C4" s="16">
        <v>481.41</v>
      </c>
      <c r="D4" s="13">
        <v>1</v>
      </c>
      <c r="E4" s="65">
        <f>PRODUCT(C4,D4)</f>
        <v>481.41</v>
      </c>
      <c r="F4" s="13"/>
      <c r="G4" s="24"/>
    </row>
    <row r="5" spans="1:7" ht="21.75" customHeight="1">
      <c r="A5" s="126" t="s">
        <v>261</v>
      </c>
      <c r="B5" s="12"/>
      <c r="C5" s="16">
        <v>481.41</v>
      </c>
      <c r="D5" s="13">
        <v>1</v>
      </c>
      <c r="E5" s="65">
        <f>PRODUCT(C5,D5)</f>
        <v>481.41</v>
      </c>
      <c r="F5" s="13"/>
      <c r="G5" s="24"/>
    </row>
    <row r="6" spans="1:7" ht="27.75" customHeight="1">
      <c r="A6" s="76" t="s">
        <v>262</v>
      </c>
      <c r="B6" s="12"/>
      <c r="C6" s="16">
        <f>1964.79+549.87</f>
        <v>2514.66</v>
      </c>
      <c r="D6" s="13">
        <v>1</v>
      </c>
      <c r="E6" s="65">
        <f aca="true" t="shared" si="0" ref="E6:E11">C6*D6</f>
        <v>2514.66</v>
      </c>
      <c r="F6" s="13"/>
      <c r="G6" s="24"/>
    </row>
    <row r="7" spans="1:7" ht="25.5" customHeight="1">
      <c r="A7" s="76" t="s">
        <v>263</v>
      </c>
      <c r="B7" s="12" t="s">
        <v>175</v>
      </c>
      <c r="C7" s="16">
        <f>2.01*1.196</f>
        <v>2.4039599999999997</v>
      </c>
      <c r="D7" s="13">
        <v>11</v>
      </c>
      <c r="E7" s="65">
        <f t="shared" si="0"/>
        <v>26.443559999999998</v>
      </c>
      <c r="F7" s="13"/>
      <c r="G7" s="24"/>
    </row>
    <row r="8" spans="1:7" ht="25.5" customHeight="1">
      <c r="A8" s="76" t="s">
        <v>264</v>
      </c>
      <c r="B8" s="12" t="s">
        <v>4</v>
      </c>
      <c r="C8" s="16">
        <f>5.35*1.196</f>
        <v>6.398599999999999</v>
      </c>
      <c r="D8" s="13">
        <v>3</v>
      </c>
      <c r="E8" s="65">
        <f t="shared" si="0"/>
        <v>19.1958</v>
      </c>
      <c r="F8" s="13"/>
      <c r="G8" s="24"/>
    </row>
    <row r="9" spans="1:7" ht="25.5" customHeight="1">
      <c r="A9" s="76" t="s">
        <v>265</v>
      </c>
      <c r="B9" s="12" t="s">
        <v>83</v>
      </c>
      <c r="C9" s="16">
        <v>6.33</v>
      </c>
      <c r="D9" s="13">
        <v>48</v>
      </c>
      <c r="E9" s="65">
        <f t="shared" si="0"/>
        <v>303.84000000000003</v>
      </c>
      <c r="F9" s="13"/>
      <c r="G9" s="24"/>
    </row>
    <row r="10" spans="1:7" ht="25.5" customHeight="1">
      <c r="A10" s="76" t="s">
        <v>266</v>
      </c>
      <c r="B10" s="12" t="s">
        <v>83</v>
      </c>
      <c r="C10" s="16">
        <v>1.09</v>
      </c>
      <c r="D10" s="13">
        <v>48</v>
      </c>
      <c r="E10" s="65">
        <f t="shared" si="0"/>
        <v>52.32000000000001</v>
      </c>
      <c r="F10" s="13"/>
      <c r="G10" s="24"/>
    </row>
    <row r="11" spans="1:7" ht="25.5" customHeight="1">
      <c r="A11" s="76" t="s">
        <v>267</v>
      </c>
      <c r="B11" s="12" t="s">
        <v>83</v>
      </c>
      <c r="C11" s="16">
        <v>0.3</v>
      </c>
      <c r="D11" s="13">
        <v>50</v>
      </c>
      <c r="E11" s="65">
        <f t="shared" si="0"/>
        <v>15</v>
      </c>
      <c r="F11" s="13"/>
      <c r="G11" s="24"/>
    </row>
    <row r="12" spans="1:7" ht="25.5" customHeight="1">
      <c r="A12" s="76" t="s">
        <v>268</v>
      </c>
      <c r="B12" s="12" t="s">
        <v>4</v>
      </c>
      <c r="C12" s="16">
        <f>14.9</f>
        <v>14.9</v>
      </c>
      <c r="D12" s="13"/>
      <c r="E12" s="65"/>
      <c r="F12" s="13">
        <v>1</v>
      </c>
      <c r="G12" s="24">
        <f>C12*F12</f>
        <v>14.9</v>
      </c>
    </row>
    <row r="13" spans="1:7" ht="25.5" customHeight="1">
      <c r="A13" s="76" t="s">
        <v>269</v>
      </c>
      <c r="B13" s="12" t="s">
        <v>4</v>
      </c>
      <c r="C13" s="16">
        <v>1.35</v>
      </c>
      <c r="D13" s="13">
        <v>4</v>
      </c>
      <c r="E13" s="124">
        <f>C13*D13</f>
        <v>5.4</v>
      </c>
      <c r="F13" s="13"/>
      <c r="G13" s="24"/>
    </row>
    <row r="14" spans="1:7" ht="25.5" customHeight="1">
      <c r="A14" s="76" t="s">
        <v>270</v>
      </c>
      <c r="B14" s="12" t="s">
        <v>250</v>
      </c>
      <c r="C14" s="16">
        <f>34.19*1.196</f>
        <v>40.891239999999996</v>
      </c>
      <c r="D14" s="13">
        <v>1</v>
      </c>
      <c r="E14" s="65">
        <f>C14*D14</f>
        <v>40.891239999999996</v>
      </c>
      <c r="F14" s="13"/>
      <c r="G14" s="24"/>
    </row>
    <row r="15" spans="1:7" ht="25.5" customHeight="1">
      <c r="A15" s="76" t="s">
        <v>271</v>
      </c>
      <c r="B15" s="12" t="s">
        <v>250</v>
      </c>
      <c r="C15" s="16">
        <f>32.32*1.196</f>
        <v>38.65472</v>
      </c>
      <c r="D15" s="13">
        <v>1</v>
      </c>
      <c r="E15" s="65">
        <f>C15*D15</f>
        <v>38.65472</v>
      </c>
      <c r="F15" s="13"/>
      <c r="G15" s="24"/>
    </row>
    <row r="16" spans="1:7" ht="25.5" customHeight="1">
      <c r="A16" s="76" t="s">
        <v>272</v>
      </c>
      <c r="B16" s="12" t="s">
        <v>250</v>
      </c>
      <c r="C16" s="16">
        <f>185.5*1.196</f>
        <v>221.858</v>
      </c>
      <c r="D16" s="13">
        <v>1</v>
      </c>
      <c r="E16" s="65">
        <f>C16*D16</f>
        <v>221.858</v>
      </c>
      <c r="F16" s="13"/>
      <c r="G16" s="24"/>
    </row>
    <row r="17" spans="1:7" ht="25.5" customHeight="1">
      <c r="A17" s="76" t="s">
        <v>273</v>
      </c>
      <c r="B17" s="12" t="s">
        <v>274</v>
      </c>
      <c r="C17" s="16">
        <f>43.44*1.196</f>
        <v>51.95424</v>
      </c>
      <c r="D17" s="13">
        <v>1</v>
      </c>
      <c r="E17" s="65">
        <f>C17*D17</f>
        <v>51.95424</v>
      </c>
      <c r="F17" s="13"/>
      <c r="G17" s="24"/>
    </row>
    <row r="18" spans="1:7" ht="25.5" customHeight="1">
      <c r="A18" s="76"/>
      <c r="B18" s="12"/>
      <c r="C18" s="16"/>
      <c r="D18" s="13"/>
      <c r="E18" s="65"/>
      <c r="F18" s="13"/>
      <c r="G18" s="24"/>
    </row>
    <row r="19" spans="1:7" ht="24" customHeight="1" thickBot="1">
      <c r="A19" s="127" t="s">
        <v>62</v>
      </c>
      <c r="B19" s="79"/>
      <c r="C19" s="80"/>
      <c r="D19" s="81"/>
      <c r="E19" s="128">
        <f>SUM(E3:E18)</f>
        <v>4734.44756</v>
      </c>
      <c r="F19" s="81"/>
      <c r="G19" s="123"/>
    </row>
  </sheetData>
  <sheetProtection selectLockedCells="1" selectUnlockedCells="1"/>
  <mergeCells count="5">
    <mergeCell ref="F1:G1"/>
    <mergeCell ref="A1:A2"/>
    <mergeCell ref="B1:B2"/>
    <mergeCell ref="C1:C2"/>
    <mergeCell ref="D1:E1"/>
  </mergeCell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E11" sqref="E11"/>
    </sheetView>
  </sheetViews>
  <sheetFormatPr defaultColWidth="11.421875" defaultRowHeight="12.75"/>
  <cols>
    <col min="1" max="1" width="25.57421875" style="0" customWidth="1"/>
    <col min="2" max="2" width="11.57421875" style="0" customWidth="1"/>
    <col min="3" max="3" width="13.8515625" style="0" customWidth="1"/>
    <col min="4" max="16384" width="11.57421875" style="0" customWidth="1"/>
  </cols>
  <sheetData>
    <row r="1" spans="1:5" ht="29.25" customHeight="1">
      <c r="A1" s="28" t="s">
        <v>3</v>
      </c>
      <c r="B1" s="36" t="s">
        <v>4</v>
      </c>
      <c r="C1" s="36" t="s">
        <v>201</v>
      </c>
      <c r="D1" s="29" t="s">
        <v>63</v>
      </c>
      <c r="E1" s="30"/>
    </row>
    <row r="2" spans="1:5" ht="30" customHeight="1" thickBot="1">
      <c r="A2" s="31"/>
      <c r="B2" s="40"/>
      <c r="C2" s="40"/>
      <c r="D2" s="32" t="s">
        <v>73</v>
      </c>
      <c r="E2" s="27" t="s">
        <v>7</v>
      </c>
    </row>
    <row r="3" spans="1:5" ht="30" customHeight="1">
      <c r="A3" s="20" t="s">
        <v>275</v>
      </c>
      <c r="B3" s="121" t="s">
        <v>75</v>
      </c>
      <c r="C3" s="121">
        <v>18.5</v>
      </c>
      <c r="D3" s="118">
        <v>200</v>
      </c>
      <c r="E3" s="22">
        <f>PRODUCT(C3,D3)</f>
        <v>3700</v>
      </c>
    </row>
    <row r="4" spans="1:5" ht="30" customHeight="1">
      <c r="A4" s="23" t="s">
        <v>276</v>
      </c>
      <c r="B4" s="12" t="s">
        <v>4</v>
      </c>
      <c r="C4" s="12">
        <v>0.1</v>
      </c>
      <c r="D4" s="13">
        <v>2200</v>
      </c>
      <c r="E4" s="24">
        <f>C4*D4</f>
        <v>220</v>
      </c>
    </row>
    <row r="5" spans="1:5" ht="29.25" customHeight="1">
      <c r="A5" s="23" t="s">
        <v>277</v>
      </c>
      <c r="B5" s="12" t="s">
        <v>83</v>
      </c>
      <c r="C5" s="12">
        <v>6.12</v>
      </c>
      <c r="D5" s="13">
        <v>50</v>
      </c>
      <c r="E5" s="24">
        <f>C5*D5</f>
        <v>306</v>
      </c>
    </row>
    <row r="6" spans="1:5" ht="29.25" customHeight="1">
      <c r="A6" s="23" t="s">
        <v>278</v>
      </c>
      <c r="B6" s="12" t="s">
        <v>83</v>
      </c>
      <c r="C6" s="12">
        <v>4.3</v>
      </c>
      <c r="D6" s="13">
        <v>25</v>
      </c>
      <c r="E6" s="24">
        <f>C6*D6</f>
        <v>107.5</v>
      </c>
    </row>
    <row r="7" spans="1:5" ht="29.25" customHeight="1">
      <c r="A7" s="23"/>
      <c r="B7" s="12"/>
      <c r="C7" s="12"/>
      <c r="D7" s="13"/>
      <c r="E7" s="24"/>
    </row>
    <row r="8" spans="1:5" ht="29.25" customHeight="1" thickBot="1">
      <c r="A8" s="78" t="s">
        <v>62</v>
      </c>
      <c r="B8" s="79"/>
      <c r="C8" s="79"/>
      <c r="D8" s="81"/>
      <c r="E8" s="123">
        <f>SUM(E3:E7)</f>
        <v>4333.5</v>
      </c>
    </row>
  </sheetData>
  <sheetProtection selectLockedCells="1" selectUnlockedCells="1"/>
  <mergeCells count="4">
    <mergeCell ref="A1:A2"/>
    <mergeCell ref="B1:B2"/>
    <mergeCell ref="C1:C2"/>
    <mergeCell ref="D1:E1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bguerin</cp:lastModifiedBy>
  <dcterms:modified xsi:type="dcterms:W3CDTF">2011-01-20T12:58:59Z</dcterms:modified>
  <cp:category/>
  <cp:version/>
  <cp:contentType/>
  <cp:contentStatus/>
</cp:coreProperties>
</file>